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O33" i="18" l="1"/>
  <c r="Q31" i="18"/>
  <c r="Q30" i="18"/>
  <c r="Q29" i="18"/>
  <c r="AC15" i="33"/>
  <c r="E243" i="15" l="1"/>
  <c r="N36" i="18" l="1"/>
  <c r="E242" i="15"/>
  <c r="AA73" i="18" l="1"/>
  <c r="AA79" i="18"/>
  <c r="L48" i="33"/>
  <c r="J48" i="33"/>
  <c r="J46" i="33"/>
  <c r="J45" i="33"/>
  <c r="E241" i="15" l="1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<sst xmlns="http://schemas.openxmlformats.org/spreadsheetml/2006/main" count="8338" uniqueCount="3916">
  <si>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</si>
  <si>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</si>
  <si>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</si>
  <si>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</si>
  <si>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</si>
  <si>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</si>
  <si>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</si>
  <si>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</si>
  <si>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</si>
  <si>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</si>
  <si>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</si>
  <si>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</si>
  <si>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</si>
  <si>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</si>
  <si>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</si>
  <si>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</si>
  <si>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</si>
  <si>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</si>
  <si>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</si>
  <si>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</si>
  <si>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</si>
  <si>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</si>
  <si>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</si>
  <si>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</si>
  <si>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</si>
  <si>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</si>
  <si>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</si>
  <si>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</si>
  <si>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</si>
  <si>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</si>
  <si>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</si>
  <si>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</si>
  <si>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</si>
  <si>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</si>
  <si>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</si>
  <si>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</si>
  <si>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</si>
  <si>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</si>
  <si>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</si>
  <si>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</si>
  <si>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</si>
  <si>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</si>
  <si>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</si>
  <si>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</si>
  <si>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</si>
  <si>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</si>
  <si>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</si>
  <si>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</si>
  <si>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</si>
  <si>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</si>
  <si>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</si>
  <si>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</si>
  <si>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</si>
  <si>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</si>
  <si>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</si>
  <si>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</si>
  <si>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</si>
  <si>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</si>
  <si>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</si>
  <si>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</si>
  <si>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</si>
  <si>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</si>
  <si>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</si>
  <si>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</si>
  <si>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</si>
  <si>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</si>
  <si>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</si>
  <si>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</si>
  <si>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</si>
  <si>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</si>
  <si>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</si>
  <si>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</si>
  <si>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</si>
  <si>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</si>
  <si>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</si>
  <si>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</si>
  <si>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</si>
  <si>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</si>
  <si>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</si>
  <si>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</si>
  <si>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</si>
  <si>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</si>
  <si>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</si>
  <si>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</si>
  <si>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</si>
  <si>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</si>
  <si>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</si>
  <si>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</si>
  <si>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</si>
  <si>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</si>
  <si>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</si>
  <si>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</si>
  <si>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</si>
  <si>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</si>
  <si>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</si>
  <si>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</si>
  <si>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</si>
  <si>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</si>
  <si>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</si>
  <si>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</si>
  <si>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</si>
  <si>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</si>
  <si>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</si>
  <si>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</si>
  <si>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</si>
  <si>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</si>
  <si>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</si>
  <si>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</si>
  <si>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</si>
  <si>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</si>
  <si>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</si>
  <si>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</si>
  <si>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</si>
  <si>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</si>
  <si>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</si>
  <si>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</si>
  <si>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</si>
  <si>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</si>
  <si>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</si>
  <si>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</si>
  <si>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</si>
  <si>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</si>
  <si>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</si>
  <si>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</si>
  <si>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</si>
  <si>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</si>
  <si>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</si>
  <si>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</si>
  <si>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</si>
  <si>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</si>
  <si>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</si>
  <si>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</si>
  <si>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</si>
  <si>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</si>
  <si>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</si>
  <si>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</si>
  <si>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</si>
  <si>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</si>
  <si>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</si>
  <si>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</si>
  <si>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</si>
  <si>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</si>
  <si>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</si>
  <si>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</si>
  <si>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</si>
  <si>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</si>
  <si>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</si>
  <si>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</si>
  <si>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</si>
  <si>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</si>
  <si>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</si>
  <si>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</si>
  <si>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</si>
  <si>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</si>
  <si>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</si>
  <si>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</si>
  <si>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</si>
  <si>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</si>
  <si>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</si>
  <si>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</si>
  <si>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</si>
  <si>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</si>
  <si>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</si>
  <si>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</si>
  <si>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</si>
  <si>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</si>
  <si>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</si>
  <si>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</si>
  <si>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</si>
  <si>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</si>
  <si>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</si>
  <si>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</si>
  <si>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</si>
  <si>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</si>
  <si>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</si>
  <si>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</si>
  <si>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</si>
  <si>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</si>
  <si>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</si>
  <si>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</si>
  <si>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</si>
  <si>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</si>
  <si>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</si>
  <si>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</si>
  <si>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</si>
  <si>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</si>
  <si>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</si>
  <si>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</si>
  <si>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</si>
  <si>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</si>
  <si>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</si>
  <si>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</si>
  <si>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</si>
  <si>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</si>
  <si>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</si>
  <si>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</si>
  <si>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</si>
  <si>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</si>
  <si>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</si>
  <si>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</si>
  <si>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</si>
  <si>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</si>
  <si>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</si>
  <si>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</si>
  <si>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</si>
  <si>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</si>
  <si>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</si>
  <si>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</si>
  <si>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</si>
  <si>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</si>
  <si>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</si>
  <si>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</si>
  <si>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</si>
  <si>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</si>
  <si>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</si>
  <si>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</si>
  <si>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</si>
  <si>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</si>
  <si>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</si>
  <si>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</si>
  <si>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</si>
  <si>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</si>
  <si>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</si>
  <si>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</si>
  <si>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</si>
  <si>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</si>
  <si>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</si>
  <si>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</si>
  <si>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</si>
  <si>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</si>
  <si>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</si>
  <si>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</si>
  <si>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</si>
  <si>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</si>
  <si>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</si>
  <si>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</si>
  <si>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</si>
  <si>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</si>
  <si>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</si>
  <si>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</si>
  <si>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</si>
  <si>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</si>
  <si>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</si>
  <si>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</si>
  <si>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</si>
  <si>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</si>
  <si>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</si>
  <si>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</si>
  <si>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</si>
  <si>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</si>
  <si>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</si>
  <si>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</si>
  <si>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</si>
  <si>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</si>
  <si>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</si>
  <si>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</si>
  <si>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</si>
  <si>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</si>
  <si>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</si>
  <si>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</si>
  <si>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</si>
  <si>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</si>
  <si>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</si>
  <si>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</si>
  <si>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</si>
  <si>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</si>
  <si>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</si>
  <si>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</si>
  <si>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</si>
  <si>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</si>
  <si>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</si>
  <si>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</si>
  <si>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</si>
  <si>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</si>
  <si>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</si>
  <si>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</si>
  <si>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</si>
  <si>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</si>
  <si>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</si>
  <si>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</si>
  <si>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</si>
  <si>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</si>
  <si>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</si>
  <si>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</si>
  <si>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</si>
  <si>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</si>
  <si>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</si>
  <si>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</si>
  <si>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</si>
  <si>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</si>
  <si>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</si>
  <si>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</si>
  <si>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</si>
  <si>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</si>
  <si>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</si>
  <si>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</si>
  <si>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</si>
  <si>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</si>
  <si>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</si>
  <si>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</si>
  <si>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</si>
  <si>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</si>
  <si>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</si>
  <si>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</si>
  <si>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</si>
  <si>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</si>
  <si>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</si>
  <si>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</si>
  <si>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</si>
  <si>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</si>
  <si>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</si>
  <si>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</si>
  <si>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</si>
  <si>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</si>
  <si>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</si>
  <si>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</si>
  <si>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</si>
  <si>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</si>
  <si>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</si>
  <si>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</si>
  <si>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</si>
  <si>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</si>
  <si>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</si>
  <si>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</si>
  <si>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</si>
  <si>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</si>
  <si>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</si>
  <si>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</si>
  <si>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</si>
  <si>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</si>
  <si>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</si>
  <si>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</si>
  <si>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</si>
  <si>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</si>
  <si>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</si>
  <si>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</si>
  <si>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</si>
  <si>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</si>
  <si>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</si>
  <si>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</si>
  <si>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</si>
  <si>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</si>
  <si>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</si>
  <si>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</si>
  <si>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</si>
  <si>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</si>
  <si>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</si>
  <si>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</si>
  <si>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</si>
  <si>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</si>
  <si>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</si>
  <si>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</si>
  <si>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</si>
  <si>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</si>
  <si>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</si>
  <si>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</si>
  <si>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</si>
  <si>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</si>
  <si>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</si>
  <si>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</si>
  <si>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</si>
  <si>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</si>
  <si>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</si>
  <si>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</si>
  <si>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</si>
  <si>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</si>
  <si>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</si>
  <si>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</si>
  <si>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</si>
  <si>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</si>
  <si>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</si>
  <si>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</si>
  <si>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</si>
  <si>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</si>
  <si>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</si>
  <si>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</si>
  <si>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</si>
  <si>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</si>
  <si>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</si>
  <si>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</si>
  <si>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</si>
  <si>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</si>
  <si>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</si>
  <si>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</si>
  <si>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</si>
  <si>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</si>
  <si>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</si>
  <si>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</si>
  <si>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</si>
  <si>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</si>
  <si>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</si>
  <si>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</si>
  <si>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</si>
  <si>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</si>
  <si>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</si>
  <si>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</si>
  <si>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</si>
  <si>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</si>
  <si>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</si>
  <si>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</si>
  <si>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</si>
  <si>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</si>
  <si>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</si>
  <si>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</si>
  <si>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</si>
  <si>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</si>
  <si>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</si>
  <si>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</si>
  <si>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</si>
  <si>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</si>
  <si>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</si>
  <si>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</si>
  <si>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</si>
  <si>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</si>
  <si>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</si>
  <si>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</si>
  <si>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</si>
  <si>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</si>
  <si>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</si>
  <si>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</si>
  <si>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</si>
  <si>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</si>
  <si>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</si>
  <si>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</si>
  <si>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</si>
  <si>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</si>
  <si>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</si>
  <si>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</si>
  <si>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</si>
  <si>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</si>
  <si>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</si>
  <si>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</si>
  <si>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</si>
  <si>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</si>
  <si>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</si>
  <si>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</si>
  <si>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</si>
  <si>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</si>
  <si>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</si>
  <si>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</si>
  <si>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</si>
  <si>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</si>
  <si>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</si>
  <si>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</si>
  <si>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</si>
  <si>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</si>
  <si>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</si>
  <si>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</si>
  <si>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</si>
  <si>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</si>
  <si>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</si>
  <si>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</si>
  <si>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</si>
  <si>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</si>
  <si>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</si>
  <si>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</si>
  <si>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</si>
  <si>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</si>
  <si>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</si>
  <si>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</si>
  <si>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</si>
  <si>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</si>
  <si>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</si>
  <si>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</si>
  <si>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</si>
  <si>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</si>
  <si>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</si>
  <si>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</si>
  <si>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</si>
  <si>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</si>
  <si>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</si>
  <si>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</si>
  <si>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</si>
  <si>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</si>
  <si>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</si>
  <si>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</si>
  <si>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</si>
  <si>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</si>
  <si>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</si>
  <si>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</si>
  <si>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</si>
  <si>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</si>
  <si>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</si>
  <si>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</si>
  <si>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</si>
  <si>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</si>
  <si>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</si>
  <si>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</si>
  <si>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</si>
  <si>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</si>
  <si>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</si>
  <si>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</si>
  <si>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</si>
  <si>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</si>
  <si>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</si>
  <si>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</si>
  <si>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</si>
  <si>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</si>
  <si>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</si>
  <si>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</si>
  <si>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</si>
  <si>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</si>
  <si>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</si>
  <si>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</si>
  <si>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</si>
  <si>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</si>
  <si>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</si>
  <si>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</si>
  <si>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</si>
  <si>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</si>
  <si>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</si>
  <si>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</si>
  <si>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</si>
  <si>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</si>
  <si>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</si>
  <si>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</si>
  <si>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</si>
  <si>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</si>
  <si>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</si>
  <si>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</si>
  <si>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</si>
  <si>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</si>
  <si>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</si>
  <si>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</si>
  <si>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</si>
  <si>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</si>
  <si>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</si>
  <si>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</si>
  <si>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</si>
  <si>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</si>
  <si>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</si>
  <si>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</si>
  <si>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</si>
  <si>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</si>
  <si>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</si>
  <si>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</si>
  <si>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</si>
  <si>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</si>
  <si>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</si>
  <si>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</si>
  <si>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</si>
  <si>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</si>
  <si>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</si>
  <si>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</si>
  <si>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</si>
  <si>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</si>
  <si>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</si>
  <si>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</si>
  <si>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</si>
  <si>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</si>
  <si>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</si>
  <si>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</si>
  <si>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</si>
  <si>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</si>
  <si>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</si>
  <si>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</si>
  <si>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</si>
  <si>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</si>
  <si>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</si>
  <si>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</si>
  <si>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</si>
  <si>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</si>
  <si>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</si>
  <si>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</si>
  <si>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</si>
  <si>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</si>
  <si>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</si>
  <si>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</si>
  <si>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</si>
  <si>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</si>
  <si>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</si>
  <si>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</si>
  <si>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</si>
  <si>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</si>
  <si>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</si>
  <si>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</si>
  <si>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</si>
  <si>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</si>
  <si>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</si>
  <si>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</si>
  <si>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</si>
  <si>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</si>
  <si>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</si>
  <si>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</si>
  <si>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</si>
  <si>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</si>
  <si>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</si>
  <si>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</si>
  <si>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</si>
  <si>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</si>
  <si>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</si>
  <si>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</si>
  <si>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</si>
  <si>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</si>
  <si>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</si>
  <si>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</si>
  <si>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</si>
  <si>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</si>
  <si>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</si>
  <si>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</si>
  <si>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</si>
  <si>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</si>
  <si>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</si>
  <si>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</si>
  <si>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</si>
  <si>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</si>
  <si>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</si>
  <si>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</si>
  <si>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</si>
  <si>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</si>
  <si>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</si>
  <si>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</si>
  <si>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</si>
  <si>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</si>
  <si>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</si>
  <si>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</si>
  <si>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</si>
  <si>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</si>
  <si>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</si>
  <si>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</si>
  <si>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</si>
  <si>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</si>
  <si>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</si>
  <si>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</si>
  <si>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</si>
  <si>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</si>
  <si>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</si>
  <si>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</si>
  <si>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</si>
  <si>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</si>
  <si>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</si>
  <si>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</si>
  <si>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</si>
  <si>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</si>
  <si>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</si>
  <si>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</si>
  <si>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</si>
  <si>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</si>
  <si>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</si>
  <si>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</si>
  <si>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</si>
  <si>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</si>
  <si>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</si>
  <si>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</si>
  <si>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</si>
  <si>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</si>
  <si>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</si>
  <si>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</si>
  <si>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</si>
  <si>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</si>
  <si>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</si>
  <si>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</si>
  <si>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</si>
  <si>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</si>
  <si>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</si>
  <si>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</si>
  <si>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</si>
  <si>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</si>
  <si>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</si>
  <si>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</si>
  <si>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</si>
  <si>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</si>
  <si>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</si>
  <si>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</si>
  <si>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</si>
  <si>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</si>
  <si>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</si>
  <si>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</si>
  <si>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</si>
  <si>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</si>
  <si>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</si>
  <si>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</si>
  <si>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</si>
  <si>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</si>
  <si>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</si>
  <si>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</si>
  <si>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</si>
  <si>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</si>
  <si>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</si>
  <si>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</si>
  <si>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</si>
  <si>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</si>
  <si>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</si>
  <si>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</si>
  <si>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</si>
  <si>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</si>
  <si>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</si>
  <si>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</si>
  <si>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</si>
  <si>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</si>
  <si>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</si>
  <si>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</si>
  <si>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</si>
  <si>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</si>
  <si>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</si>
  <si>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</si>
  <si>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</si>
  <si>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</si>
  <si>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</si>
  <si>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</si>
  <si>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</si>
  <si>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</si>
  <si>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</si>
  <si>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</si>
  <si>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</si>
  <si>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</si>
  <si>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</si>
  <si>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</si>
  <si>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</si>
  <si>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</si>
  <si>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</si>
  <si>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</si>
  <si>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</si>
  <si>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</si>
  <si>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</si>
  <si>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</si>
  <si>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</si>
  <si>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</si>
  <si>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</si>
  <si>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</si>
  <si>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</si>
  <si>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</si>
  <si>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</si>
  <si>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</si>
  <si>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</si>
  <si>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</si>
  <si>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</si>
  <si>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</si>
  <si>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</si>
  <si>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</si>
  <si>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</si>
  <si>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</si>
  <si>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</si>
  <si>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</si>
  <si>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</si>
  <si>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</si>
  <si>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</si>
  <si>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</si>
  <si>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</si>
  <si>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</si>
  <si>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</si>
  <si>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</si>
  <si>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</si>
  <si>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</si>
  <si>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</si>
  <si>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</si>
  <si>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</si>
  <si>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</si>
  <si>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</si>
  <si>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</si>
  <si>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</si>
  <si>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</si>
  <si>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</si>
  <si>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</si>
  <si>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</si>
  <si>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</si>
  <si>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</si>
  <si>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</si>
  <si>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</si>
  <si>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</si>
  <si>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</si>
  <si>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</si>
  <si>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</si>
  <si>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</si>
  <si>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</si>
  <si>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</si>
  <si>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</si>
  <si>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</si>
  <si>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</si>
  <si>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</si>
  <si>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</si>
  <si>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</si>
  <si>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</si>
  <si>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</si>
  <si>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</si>
  <si>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</si>
  <si>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</si>
  <si>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</si>
  <si>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</si>
  <si>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</si>
  <si>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</si>
  <si>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</si>
  <si>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</si>
  <si>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</si>
  <si>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</si>
  <si>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</si>
  <si>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</si>
  <si>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</si>
  <si>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</si>
  <si>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</si>
  <si>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</si>
  <si>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</si>
  <si>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</si>
  <si>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</si>
  <si>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</si>
  <si>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</si>
  <si>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</si>
  <si>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</si>
  <si>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</si>
  <si>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</si>
  <si>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</si>
  <si>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</si>
  <si>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</si>
  <si>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</si>
  <si>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</si>
  <si>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</si>
  <si>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</si>
  <si>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</si>
  <si>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</si>
  <si>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</si>
  <si>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</si>
  <si>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</si>
  <si>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</si>
  <si>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</si>
  <si>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</si>
  <si>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</si>
  <si>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</si>
  <si>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</si>
  <si>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</si>
  <si>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</si>
  <si>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</si>
  <si>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</si>
  <si>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</si>
  <si>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</si>
  <si>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</si>
  <si>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</si>
  <si>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</si>
  <si>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</si>
  <si>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</si>
  <si>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</si>
  <si>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</si>
  <si>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</si>
  <si>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</si>
  <si>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</si>
  <si>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</si>
  <si>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</si>
  <si>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</si>
  <si>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</si>
  <si>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</si>
  <si>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</si>
  <si>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</si>
  <si>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</si>
  <si>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</si>
  <si>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</si>
  <si>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</si>
  <si>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</si>
  <si>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</si>
  <si>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</si>
  <si>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</si>
  <si>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</si>
  <si>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</si>
  <si>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</si>
  <si>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</si>
  <si>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</si>
  <si>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</si>
  <si>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</si>
  <si>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</si>
  <si>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</si>
  <si>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</si>
  <si>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</si>
  <si>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</si>
  <si>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</si>
  <si>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</si>
  <si>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</si>
  <si>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</si>
  <si>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</si>
  <si>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</si>
  <si>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</si>
  <si>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</si>
  <si>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</si>
  <si>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</si>
  <si>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</si>
  <si>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</si>
  <si>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</si>
  <si>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</si>
  <si>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</si>
  <si>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</si>
  <si>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</si>
  <si>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</si>
  <si>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</si>
  <si>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</si>
  <si>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</si>
  <si>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</si>
  <si>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</si>
  <si>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</si>
  <si>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</si>
  <si>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</si>
  <si>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</si>
  <si>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</si>
  <si>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</si>
  <si>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</si>
  <si>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</si>
  <si>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</si>
  <si>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</si>
  <si>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</si>
  <si>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</si>
  <si>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</si>
  <si>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</si>
  <si>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</si>
  <si>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</si>
  <si>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</si>
  <si>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</si>
  <si>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</si>
  <si>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</si>
  <si>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</si>
  <si>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</si>
  <si>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</si>
  <si>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</si>
  <si>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</si>
  <si>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</si>
  <si>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</si>
  <si>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</si>
  <si>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</si>
  <si>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</si>
  <si>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</si>
  <si>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</si>
  <si>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</si>
  <si>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</si>
  <si>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</si>
  <si>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</si>
  <si>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</si>
  <si>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</si>
  <si>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</si>
  <si>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</si>
  <si>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</si>
  <si>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</si>
  <si>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</si>
  <si>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</si>
  <si>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</si>
  <si>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</si>
  <si>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</si>
  <si>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</si>
  <si>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</si>
  <si>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</si>
  <si>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</si>
  <si>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</si>
  <si>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</si>
  <si>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</si>
  <si>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</si>
  <si>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</si>
  <si>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</si>
  <si>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</si>
  <si>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</si>
  <si>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</si>
  <si>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</si>
  <si>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</si>
  <si>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</si>
  <si>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</si>
  <si>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</si>
  <si>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</si>
  <si>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</si>
  <si>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</si>
  <si>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</si>
  <si>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</si>
  <si>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</si>
  <si>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</si>
  <si>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</si>
  <si>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</si>
  <si>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</si>
  <si>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</si>
  <si>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</si>
  <si>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</si>
  <si>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</si>
  <si>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</si>
  <si>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</si>
  <si>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</si>
  <si>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</si>
  <si>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</si>
  <si>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</si>
  <si>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</si>
  <si>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</si>
  <si>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</si>
  <si>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</si>
  <si>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</si>
  <si>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</si>
  <si>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</si>
  <si>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</si>
  <si>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</si>
  <si>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</si>
  <si>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</si>
  <si>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</si>
  <si>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</si>
  <si>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</si>
  <si>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</si>
  <si>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</si>
  <si>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</si>
  <si>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</si>
  <si>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</si>
  <si>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</si>
  <si>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</si>
  <si>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</si>
  <si>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</si>
  <si>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</si>
  <si>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</si>
  <si>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</si>
  <si>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</si>
  <si>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</si>
  <si>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</si>
  <si>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</si>
  <si>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</si>
  <si>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</si>
  <si>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</si>
  <si>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</si>
  <si>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</si>
  <si>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</si>
  <si>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</si>
  <si>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</si>
  <si>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</si>
  <si>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</si>
  <si>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</si>
  <si>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</si>
  <si>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</si>
  <si>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</si>
  <si>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</si>
  <si>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</si>
  <si>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</si>
  <si>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</si>
  <si>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</si>
  <si>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</si>
  <si>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</si>
  <si>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</si>
  <si>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</si>
  <si>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</si>
  <si>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</si>
  <si>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</si>
  <si>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</si>
  <si>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</si>
  <si>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</si>
  <si>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</si>
  <si>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</si>
  <si>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</si>
  <si>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</si>
  <si>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</si>
  <si>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</si>
  <si>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</si>
  <si>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</si>
  <si>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</si>
  <si>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</si>
  <si>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</si>
  <si>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</si>
  <si>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</si>
  <si>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</si>
  <si>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</si>
  <si>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</si>
  <si>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</si>
  <si>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</si>
  <si>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</si>
  <si>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</si>
  <si>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</si>
  <si>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</si>
  <si>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</si>
  <si>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</si>
  <si>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</si>
  <si>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</si>
  <si>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</si>
  <si>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</si>
  <si>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</si>
  <si>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</si>
  <si>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</si>
  <si>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</si>
  <si>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</si>
  <si>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</si>
  <si>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</si>
  <si>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</si>
  <si>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</si>
  <si>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</si>
  <si>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</si>
  <si>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</si>
  <si>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</si>
  <si>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</si>
  <si>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</si>
  <si>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</si>
  <si>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</si>
  <si>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</si>
  <si>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</si>
  <si>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</si>
  <si>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</si>
  <si>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</si>
  <si>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</si>
  <si>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</si>
  <si>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</si>
  <si>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</si>
  <si>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</si>
  <si>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</si>
  <si>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</si>
  <si>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</si>
  <si>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</si>
  <si>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</si>
  <si>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</si>
  <si>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</si>
  <si>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</si>
  <si>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</si>
  <si>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</si>
  <si>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</si>
  <si>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</si>
  <si>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</si>
  <si>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</si>
  <si>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</si>
  <si>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</si>
  <si>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</si>
  <si>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</si>
  <si>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</si>
  <si>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</si>
  <si>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</si>
  <si>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</si>
  <si>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</si>
  <si>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</si>
  <si>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</si>
  <si>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</si>
  <si>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</si>
  <si>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</si>
  <si>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</si>
  <si>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</si>
  <si>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</si>
  <si>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</si>
  <si>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</si>
  <si>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</si>
  <si>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</si>
  <si>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</si>
  <si>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</si>
  <si>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</si>
  <si>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</si>
  <si>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</si>
  <si>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</si>
  <si>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</si>
  <si>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</si>
  <si>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</si>
  <si>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</si>
  <si>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</si>
  <si>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</si>
  <si>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</si>
  <si>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</si>
  <si>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</si>
  <si>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</si>
  <si>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</si>
  <si>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</si>
  <si>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</si>
  <si>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</si>
  <si>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</si>
  <si>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</si>
  <si>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</si>
  <si>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</si>
  <si>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</si>
  <si>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</si>
  <si>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</si>
  <si>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</si>
  <si>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</si>
  <si>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</si>
  <si>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</si>
  <si>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</si>
  <si>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</si>
  <si>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</si>
  <si>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</si>
  <si>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</si>
  <si>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</si>
  <si>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</si>
  <si>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</si>
  <si>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</si>
  <si>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</si>
  <si>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</si>
  <si>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</si>
  <si>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</si>
  <si>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</si>
  <si>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</si>
  <si>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</si>
  <si>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</si>
  <si>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</si>
  <si>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</si>
  <si>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</si>
  <si>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</si>
  <si>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</si>
  <si>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</si>
  <si>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</si>
  <si>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</si>
  <si>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</si>
  <si>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</si>
  <si>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</si>
  <si>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</si>
  <si>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</si>
  <si>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</si>
  <si>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</si>
  <si>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</si>
  <si>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</si>
  <si>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</si>
  <si>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</si>
  <si>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</si>
  <si>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</si>
  <si>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</si>
  <si>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</si>
  <si>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</si>
  <si>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</si>
  <si>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</si>
  <si>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</si>
  <si>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</si>
  <si>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</si>
  <si>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</si>
  <si>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</si>
  <si>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</si>
  <si>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</si>
  <si>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</si>
  <si>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</si>
  <si>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</si>
  <si>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</si>
  <si>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</si>
  <si>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</si>
  <si>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</si>
  <si>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</si>
  <si>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</si>
  <si>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</si>
  <si>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</si>
  <si>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</si>
  <si>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</si>
  <si>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</si>
  <si>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</si>
  <si>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</si>
  <si>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</si>
  <si>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</si>
  <si>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</si>
  <si>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</si>
  <si>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</si>
  <si>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</si>
  <si>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</si>
  <si>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</si>
  <si>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</si>
  <si>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</si>
  <si>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</si>
  <si>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</si>
  <si>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</si>
  <si>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</si>
  <si>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</si>
  <si>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</si>
  <si>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</si>
  <si>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</si>
  <si>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</si>
  <si>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</si>
  <si>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</si>
  <si>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</si>
  <si>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</si>
  <si>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</si>
  <si>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</si>
  <si>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</si>
  <si>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</si>
  <si>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</si>
  <si>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</si>
  <si>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</si>
  <si>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</si>
  <si>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</si>
  <si>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</si>
  <si>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</si>
  <si>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</si>
  <si>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</si>
  <si>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</si>
  <si>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</si>
  <si>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</si>
  <si>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</si>
  <si>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</si>
  <si>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</si>
  <si>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</si>
  <si>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</si>
  <si>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</si>
  <si>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</si>
  <si>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</si>
  <si>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</si>
  <si>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</si>
  <si>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</si>
  <si>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</si>
  <si>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</si>
  <si>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</si>
  <si>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</si>
  <si>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</si>
  <si>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</si>
  <si>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</si>
  <si>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</si>
  <si>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</si>
  <si>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</si>
  <si>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</si>
  <si>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</si>
  <si>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</si>
  <si>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</si>
  <si>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</si>
  <si>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</si>
  <si>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</si>
  <si>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</si>
  <si>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</si>
  <si>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</si>
  <si>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</si>
  <si>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</si>
  <si>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</si>
  <si>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</si>
  <si>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</si>
  <si>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</si>
  <si>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</si>
  <si>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</si>
  <si>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</si>
  <si>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</si>
  <si>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</si>
  <si>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</si>
  <si>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</si>
  <si>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</si>
  <si>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</si>
  <si>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</si>
  <si>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</si>
  <si>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</si>
  <si>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</si>
  <si>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</si>
  <si>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</si>
  <si>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</si>
  <si>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</si>
  <si>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</si>
  <si>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</si>
  <si>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</si>
  <si>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</si>
  <si>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</si>
  <si>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</si>
  <si>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</si>
  <si>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</si>
  <si>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</si>
  <si>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</si>
  <si>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</si>
  <si>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</si>
  <si>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</si>
  <si>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</si>
  <si>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</si>
  <si>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</si>
  <si>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</si>
  <si>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</si>
  <si>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</si>
  <si>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</si>
  <si>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</si>
  <si>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</si>
  <si>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</si>
  <si>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</si>
  <si>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</si>
  <si>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</si>
  <si>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</si>
  <si>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</si>
  <si>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</si>
  <si>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</si>
  <si>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</si>
  <si>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</si>
  <si>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</si>
  <si>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</si>
  <si>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</si>
  <si>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</si>
  <si>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</si>
  <si>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</si>
  <si>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</si>
  <si>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</si>
  <si>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</si>
  <si>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</si>
  <si>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</si>
  <si>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</si>
  <si>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</si>
  <si>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</si>
  <si>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</si>
  <si>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</si>
  <si>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</si>
  <si>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</si>
  <si>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</si>
  <si>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</si>
  <si>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</si>
  <si>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</si>
  <si>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</si>
  <si>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</si>
  <si>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</si>
  <si>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</si>
  <si>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</si>
  <si>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</si>
  <si>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</si>
  <si>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</si>
  <si>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</si>
  <si>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</si>
  <si>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</si>
  <si>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</si>
  <si>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</si>
  <si>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</si>
  <si>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</si>
  <si>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</si>
  <si>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</si>
  <si>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</si>
  <si>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</si>
  <si>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</si>
  <si>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</si>
  <si>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</si>
  <si>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</si>
  <si>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</si>
  <si>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</si>
  <si>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</si>
  <si>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</si>
  <si>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</si>
  <si>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</si>
  <si>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</si>
  <si>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</si>
  <si>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</si>
  <si>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</si>
  <si>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</si>
  <si>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</si>
  <si>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</si>
  <si>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</si>
  <si>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</si>
  <si>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</si>
  <si>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</si>
  <si>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</si>
  <si>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</si>
  <si>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</si>
  <si>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</si>
  <si>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</si>
  <si>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</si>
  <si>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</si>
  <si>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</si>
  <si>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</si>
  <si>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</si>
  <si>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</si>
  <si>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</si>
  <si>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</si>
  <si>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</si>
  <si>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</si>
  <si>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</si>
  <si>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</si>
  <si>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</si>
  <si>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</si>
  <si>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</si>
  <si>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</si>
  <si>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</si>
  <si>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</si>
  <si>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</si>
  <si>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</si>
  <si>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</si>
  <si>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</si>
  <si>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</si>
  <si>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</si>
  <si>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</si>
  <si>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</si>
  <si>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</si>
  <si>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</si>
  <si>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</si>
  <si>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</si>
  <si>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</si>
  <si>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</si>
  <si>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</si>
  <si>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</si>
  <si>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</si>
  <si>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</si>
  <si>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</si>
  <si>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</si>
  <si>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</si>
  <si>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</si>
  <si>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</si>
  <si>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</si>
  <si>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</si>
  <si>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</si>
  <si>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</si>
  <si>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</si>
  <si>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</si>
  <si>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</si>
  <si>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</si>
  <si>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</si>
  <si>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</si>
  <si>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</si>
  <si>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</si>
  <si>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</si>
  <si>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</si>
  <si>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</si>
  <si>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</si>
  <si>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</si>
  <si>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</si>
  <si>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</si>
  <si>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</si>
  <si>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</si>
  <si>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</si>
  <si>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</si>
  <si>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</si>
  <si>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</si>
  <si>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</si>
  <si>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</si>
  <si>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</si>
  <si>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</si>
  <si>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</si>
  <si>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</si>
  <si>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</si>
  <si>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</si>
  <si>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</si>
  <si>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</si>
  <si>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</si>
  <si>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</si>
  <si>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</si>
  <si>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</si>
  <si>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</si>
  <si>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</si>
  <si>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</si>
  <si>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</si>
  <si>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</si>
  <si>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</si>
  <si>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</si>
  <si>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</si>
  <si>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</si>
  <si>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</si>
  <si>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</si>
  <si>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</si>
  <si>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</si>
  <si>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</si>
  <si>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</si>
  <si>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</si>
  <si>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</si>
  <si>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</si>
  <si>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</si>
  <si>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</si>
  <si>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</si>
  <si>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</si>
  <si>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</si>
  <si>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</si>
  <si>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</si>
  <si>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</si>
  <si>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</si>
  <si>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</si>
  <si>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</si>
  <si>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</si>
  <si>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</si>
  <si>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</si>
  <si>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</si>
  <si>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</si>
  <si>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</si>
  <si>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</si>
  <si>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</si>
  <si>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</si>
  <si>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</si>
  <si>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</si>
  <si>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</si>
  <si>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</si>
  <si>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</si>
  <si>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</si>
  <si>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</si>
  <si>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</si>
  <si>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</si>
  <si>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</si>
  <si>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</si>
  <si>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</si>
  <si>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</si>
  <si>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</si>
  <si>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</si>
  <si>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</si>
  <si>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</si>
  <si>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</si>
  <si>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</si>
  <si>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</si>
  <si>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</si>
  <si>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</si>
  <si>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</si>
  <si>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</si>
  <si>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</si>
  <si>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</si>
  <si>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</si>
  <si>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</si>
  <si>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</si>
  <si>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</si>
  <si>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</si>
  <si>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</si>
  <si>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</si>
  <si>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</si>
  <si>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</si>
  <si>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</si>
  <si>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</si>
  <si>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</si>
  <si>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</si>
  <si>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</si>
  <si>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</si>
  <si>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</si>
  <si>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</si>
  <si>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</si>
  <si>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</si>
  <si>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</si>
  <si>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</si>
  <si>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</si>
  <si>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</si>
  <si>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</si>
  <si>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</si>
  <si>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</si>
  <si>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</si>
  <si>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</si>
  <si>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</si>
  <si>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</si>
  <si>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</si>
  <si>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</si>
  <si>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</si>
  <si>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</si>
  <si>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</si>
  <si>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</si>
  <si>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</si>
  <si>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</si>
  <si>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</si>
  <si>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</si>
  <si>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</si>
  <si>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</si>
  <si>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</si>
  <si>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</si>
  <si>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</si>
  <si>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</si>
  <si>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</si>
  <si>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</si>
  <si>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</si>
  <si>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</si>
  <si>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</si>
  <si>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</si>
  <si>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</si>
  <si>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</si>
  <si>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</si>
  <si>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</si>
  <si>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</si>
  <si>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</si>
  <si>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</si>
  <si>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</si>
  <si>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</si>
  <si>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</si>
  <si>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</si>
  <si>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</si>
  <si>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</si>
  <si>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</si>
  <si>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</si>
  <si>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</si>
  <si>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</si>
  <si>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</si>
  <si>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</si>
  <si>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</si>
  <si>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</si>
  <si>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</si>
  <si>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</si>
  <si>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</si>
  <si>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</si>
  <si>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</si>
  <si>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</si>
  <si>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</si>
  <si>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</si>
  <si>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</si>
  <si>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</si>
  <si>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</si>
  <si>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</si>
  <si>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</si>
  <si>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</si>
  <si>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</si>
  <si>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</si>
  <si>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</si>
  <si>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</si>
  <si>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</si>
  <si>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</si>
  <si>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</si>
  <si>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</si>
  <si>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</si>
  <si>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</si>
  <si>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</si>
  <si>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</si>
  <si>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</si>
  <si>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</si>
  <si>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</si>
  <si>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</si>
  <si>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</si>
  <si>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</si>
  <si>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</si>
  <si>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</si>
  <si>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</si>
  <si>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</si>
  <si>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</si>
  <si>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</si>
  <si>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</si>
  <si>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</si>
  <si>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</si>
  <si>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</si>
  <si>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</si>
  <si>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</si>
  <si>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</si>
  <si>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</si>
  <si>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</si>
  <si>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</si>
  <si>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</si>
  <si>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</si>
  <si>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</si>
  <si>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</si>
  <si>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</si>
  <si>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</si>
  <si>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</si>
  <si>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</si>
  <si>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</si>
  <si>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</si>
  <si>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</si>
  <si>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</si>
  <si>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</si>
  <si>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</si>
  <si>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</si>
  <si>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</si>
  <si>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</si>
  <si>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</si>
  <si>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</si>
  <si>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</si>
  <si>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</si>
  <si>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</si>
  <si>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</si>
  <si>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</si>
  <si>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</si>
  <si>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</si>
  <si>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</si>
  <si>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</si>
  <si>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</si>
  <si>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</si>
  <si>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</si>
  <si>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</si>
  <si>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</si>
  <si>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</si>
  <si>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</si>
  <si>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</si>
  <si>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</si>
  <si>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</si>
  <si>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</si>
  <si>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</si>
  <si>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</si>
  <si>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</si>
  <si>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</si>
  <si>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</si>
  <si>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</si>
  <si>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</si>
  <si>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</si>
  <si>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</si>
  <si>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</si>
  <si>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</si>
  <si>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</si>
  <si>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</si>
  <si>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</si>
  <si>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</si>
  <si>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</si>
  <si>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</si>
  <si>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</si>
  <si>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</si>
  <si>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</si>
  <si>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</si>
  <si>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</si>
  <si>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</si>
  <si>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</si>
  <si>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</si>
  <si>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</si>
  <si>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</si>
  <si>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</si>
  <si>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</si>
  <si>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</si>
  <si>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</si>
  <si>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</si>
  <si>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</si>
  <si>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</si>
  <si>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</si>
  <si>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</si>
  <si>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</si>
  <si>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</si>
  <si>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</si>
  <si>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</si>
  <si>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</si>
  <si>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</si>
  <si>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</si>
  <si>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</si>
  <si>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</si>
  <si>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</si>
  <si>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</si>
  <si>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</si>
  <si>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</si>
  <si>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</si>
  <si>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</si>
  <si>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</si>
  <si>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</si>
  <si>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</si>
  <si>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</si>
  <si>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</si>
  <si>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</si>
  <si>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</si>
  <si>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</si>
  <si>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</si>
  <si>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</si>
  <si>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</si>
  <si>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</si>
  <si>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</si>
  <si>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</si>
  <si>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</si>
  <si>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</si>
  <si>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</si>
  <si>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</si>
  <si>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</si>
  <si>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</si>
  <si>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</si>
  <si>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</si>
  <si>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</si>
  <si>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</si>
  <si>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</si>
  <si>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</si>
  <si>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</si>
  <si>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</si>
  <si>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</si>
  <si>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</si>
  <si>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</si>
  <si>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</si>
  <si>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</si>
  <si>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</si>
  <si>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</si>
  <si>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</si>
  <si>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</si>
  <si>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</si>
  <si>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</si>
  <si>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</si>
  <si>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</si>
  <si>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</si>
  <si>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</si>
  <si>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</si>
  <si>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</si>
  <si>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</si>
  <si>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</si>
  <si>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</si>
  <si>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</si>
  <si>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</si>
  <si>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</si>
  <si>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</si>
  <si>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</si>
  <si>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</si>
  <si>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</si>
  <si>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</si>
  <si>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</si>
  <si>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</si>
  <si>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</si>
  <si>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</si>
  <si>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</si>
  <si>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</si>
  <si>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</si>
  <si>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</si>
  <si>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</si>
  <si>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</si>
  <si>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</si>
  <si>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</si>
  <si>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</si>
  <si>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</si>
  <si>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</si>
  <si>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</si>
  <si>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</si>
  <si>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</si>
  <si>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</si>
  <si>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</si>
  <si>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</si>
  <si>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</si>
  <si>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</si>
  <si>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</si>
  <si>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</si>
  <si>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</si>
  <si>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</si>
  <si>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</si>
  <si>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</si>
  <si>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</si>
  <si>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</si>
  <si>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</si>
  <si>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</si>
  <si>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</si>
  <si>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</si>
  <si>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</si>
  <si>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</si>
  <si>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</si>
  <si>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</si>
  <si>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</si>
  <si>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</si>
  <si>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</si>
  <si>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</si>
  <si>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</si>
  <si>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</si>
  <si>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</si>
  <si>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</si>
  <si>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</si>
  <si>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</si>
  <si>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</si>
  <si>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</si>
  <si>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</si>
  <si>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</si>
  <si>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</si>
  <si>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</si>
  <si>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</si>
  <si>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</si>
  <si>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</si>
  <si>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</si>
  <si>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</si>
  <si>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</si>
  <si>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</si>
  <si>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</si>
  <si>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</si>
  <si>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</si>
  <si>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</si>
  <si>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</si>
  <si>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</si>
  <si>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</si>
  <si>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</si>
  <si>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</si>
  <si>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</si>
  <si>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</si>
  <si>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</si>
  <si>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</si>
  <si>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</si>
  <si>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</si>
  <si>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</si>
  <si>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</si>
  <si>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</si>
  <si>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</si>
  <si>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</si>
  <si>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</si>
  <si>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</si>
  <si>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</si>
  <si>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</si>
  <si>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</si>
  <si>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</si>
  <si>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</si>
  <si>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</si>
  <si>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</si>
  <si>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</si>
  <si>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</si>
  <si>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</si>
  <si>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</si>
  <si>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</si>
  <si>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</si>
  <si>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</si>
  <si>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</si>
  <si>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</si>
  <si>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</si>
  <si>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</si>
  <si>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</si>
  <si>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</si>
  <si>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</si>
  <si>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</si>
  <si>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</si>
  <si>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</si>
  <si>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</si>
  <si>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</si>
  <si>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</si>
  <si>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</si>
  <si>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</si>
  <si>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</si>
  <si>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</si>
  <si>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</si>
  <si>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</si>
  <si>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</si>
  <si>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</si>
  <si>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</si>
  <si>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</si>
  <si>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</si>
  <si>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</si>
  <si>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</si>
  <si>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</si>
  <si>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</si>
  <si>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</si>
  <si>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</si>
  <si>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</si>
  <si>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</si>
  <si>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</si>
  <si>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</si>
  <si>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</si>
  <si>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</si>
  <si>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</si>
  <si>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</si>
  <si>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</si>
  <si>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</si>
  <si>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</si>
  <si>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</si>
  <si>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</si>
  <si>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</si>
  <si>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</si>
  <si>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</si>
  <si>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</si>
  <si>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</si>
  <si>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</si>
  <si>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</si>
  <si>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</si>
  <si>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</si>
  <si>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</si>
  <si>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</si>
  <si>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</si>
  <si>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</si>
  <si>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</si>
  <si>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</si>
  <si>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</si>
  <si>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</si>
  <si>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</si>
  <si>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</si>
  <si>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</si>
  <si>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</si>
  <si>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</si>
  <si>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</si>
  <si>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</si>
  <si>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</si>
  <si>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</si>
  <si>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</si>
  <si>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</si>
  <si>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</si>
  <si>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</si>
  <si>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</si>
  <si>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</si>
  <si>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</si>
  <si>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</si>
  <si>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</si>
  <si>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</si>
  <si>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</si>
  <si>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</si>
  <si>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</si>
  <si>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</si>
  <si>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</si>
  <si>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</si>
  <si>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</si>
  <si>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</si>
  <si>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</si>
  <si>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</si>
  <si>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</si>
  <si>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</si>
  <si>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</si>
  <si>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</si>
  <si>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</si>
  <si>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</si>
  <si>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</si>
  <si>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</si>
  <si>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</si>
  <si>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</si>
  <si>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</si>
  <si>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</si>
  <si>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</si>
  <si>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</si>
  <si>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</si>
  <si>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</si>
  <si>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</si>
  <si>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</si>
  <si>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</si>
  <si>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</si>
  <si>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</si>
  <si>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</si>
  <si>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</si>
  <si>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</si>
  <si>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</si>
  <si>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</si>
  <si>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</si>
  <si>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</si>
  <si>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</si>
  <si>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</si>
  <si>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</si>
  <si>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</si>
  <si>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</si>
  <si>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</si>
  <si>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</si>
  <si>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</si>
  <si>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</si>
  <si>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</si>
  <si>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</si>
  <si>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</si>
  <si>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</si>
  <si>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</si>
  <si>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</si>
  <si>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</si>
  <si>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</si>
  <si>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</si>
  <si>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</si>
  <si>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</si>
  <si>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</si>
  <si>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</si>
  <si>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</si>
  <si>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</si>
  <si>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</si>
  <si>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</si>
  <si>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</si>
  <si>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</si>
  <si>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</si>
  <si>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</si>
  <si>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</si>
  <si>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</si>
  <si>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</si>
  <si>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</si>
  <si>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</si>
  <si>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</si>
  <si>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</si>
  <si>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</si>
  <si>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</si>
  <si>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</si>
  <si>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</si>
  <si>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</si>
  <si>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</si>
  <si>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</si>
  <si>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</si>
  <si>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</si>
  <si>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</si>
  <si>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</si>
  <si>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</si>
  <si>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</si>
  <si>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</si>
  <si>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</si>
  <si>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</si>
  <si>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</si>
  <si>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</si>
  <si>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</si>
  <si>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</si>
  <si>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</si>
  <si>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</si>
  <si>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</si>
  <si>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</si>
  <si>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</si>
  <si>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</si>
  <si>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</si>
  <si>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</si>
  <si>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</si>
  <si>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</si>
  <si>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</si>
  <si>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</si>
  <si>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</si>
  <si>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</si>
  <si>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</si>
  <si>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</si>
  <si>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</si>
  <si>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</si>
  <si>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</si>
  <si>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</si>
  <si>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</si>
  <si>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</si>
  <si>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</si>
  <si>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</si>
  <si>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</si>
  <si>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</si>
  <si>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</si>
  <si>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</si>
  <si>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</si>
  <si>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</si>
  <si>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</si>
  <si>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</si>
  <si>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</si>
  <si>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</si>
  <si>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</si>
  <si>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</si>
  <si>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</si>
  <si>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</si>
  <si>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</si>
  <si>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</si>
  <si>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</si>
  <si>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</si>
  <si>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</si>
  <si>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</si>
  <si>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</si>
  <si>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</si>
  <si>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</si>
  <si>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</si>
  <si>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</si>
  <si>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</si>
  <si>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</si>
  <si>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</si>
  <si>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</si>
  <si>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</si>
  <si>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</si>
  <si>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</si>
  <si>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</si>
  <si>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</si>
  <si>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</si>
  <si>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</si>
  <si>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</si>
  <si>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</si>
  <si>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</si>
  <si>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</si>
  <si>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</si>
  <si>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</si>
  <si>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</si>
  <si>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</si>
  <si>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</si>
  <si>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</si>
  <si>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</si>
  <si>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</si>
  <si>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</si>
  <si>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</si>
  <si>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</si>
  <si>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</si>
  <si>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</si>
  <si>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</si>
  <si>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</si>
  <si>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</si>
  <si>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</si>
  <si>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</si>
  <si>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</si>
  <si>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</si>
  <si>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</si>
  <si>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</si>
  <si>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</si>
  <si>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</si>
  <si>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</si>
  <si>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</si>
  <si>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</si>
  <si>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</si>
  <si>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</si>
  <si>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</si>
  <si>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</si>
  <si>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</si>
  <si>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</si>
  <si>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</si>
  <si>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</si>
  <si>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</si>
  <si>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</si>
  <si>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</si>
  <si>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</si>
  <si>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</si>
  <si>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</si>
  <si>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</si>
  <si>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</si>
  <si>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</si>
  <si>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</si>
  <si>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</si>
  <si>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</si>
  <si>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</si>
  <si>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</si>
  <si>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</si>
  <si>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</si>
  <si>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</si>
  <si>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</si>
  <si>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</si>
  <si>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</si>
  <si>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</si>
  <si>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</si>
  <si>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</si>
  <si>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</si>
  <si>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</si>
  <si>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</si>
  <si>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</si>
  <si>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</si>
  <si>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</si>
  <si>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</si>
  <si>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</si>
  <si>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</si>
  <si>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</si>
  <si>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</si>
  <si>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</si>
  <si>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</si>
  <si>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</si>
  <si>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</si>
  <si>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</si>
  <si>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</si>
  <si>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</si>
  <si>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</si>
  <si>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</si>
  <si>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</si>
  <si>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</si>
  <si>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</si>
  <si>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</si>
  <si>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</si>
  <si>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</si>
  <si>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</si>
  <si>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</si>
  <si>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</si>
  <si>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</si>
  <si>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</si>
  <si>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</si>
  <si>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</si>
  <si>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</si>
  <si>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</si>
  <si>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</si>
  <si>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</si>
  <si>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</si>
  <si>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</si>
  <si>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</si>
  <si>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</si>
  <si>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</si>
  <si>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</si>
  <si>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</si>
  <si>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</si>
  <si>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</si>
  <si>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</si>
  <si>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</si>
  <si>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</si>
  <si>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</si>
  <si>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</si>
  <si>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</si>
  <si>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</si>
  <si>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</si>
  <si>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</si>
  <si>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</si>
  <si>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</si>
  <si>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</si>
  <si>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</si>
  <si>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</si>
  <si>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</si>
  <si>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</si>
  <si>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</si>
  <si>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</si>
  <si>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</si>
  <si>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</si>
  <si>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</si>
  <si>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</si>
  <si>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</si>
  <si>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</si>
  <si>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</si>
  <si>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</si>
  <si>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</si>
  <si>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</si>
  <si>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</si>
  <si>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</si>
  <si>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</si>
  <si>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</si>
  <si>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</si>
  <si>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</si>
  <si>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</si>
  <si>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</si>
  <si>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</si>
  <si>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</si>
  <si>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</si>
  <si>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</si>
  <si>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</si>
  <si>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</si>
  <si>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</si>
  <si>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</si>
  <si>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</si>
  <si>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</si>
  <si>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</si>
  <si>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</si>
  <si>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</si>
  <si>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</si>
  <si>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</si>
  <si>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</si>
  <si>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</si>
  <si>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</si>
  <si>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</si>
  <si>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</si>
  <si>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</si>
  <si>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</si>
  <si>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</si>
  <si>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</si>
  <si>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</si>
  <si>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</si>
  <si>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</si>
  <si>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</si>
  <si>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</si>
  <si>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</si>
  <si>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</si>
  <si>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</si>
  <si>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</si>
  <si>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</si>
  <si>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</si>
  <si>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</si>
  <si>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</si>
  <si>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</si>
  <si>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</si>
  <si>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</si>
  <si>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</si>
  <si>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</si>
  <si>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</si>
  <si>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</si>
  <si>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</si>
  <si>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</si>
  <si>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</si>
  <si>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</si>
  <si>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</si>
  <si>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</si>
  <si>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</si>
  <si>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</si>
  <si>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</si>
  <si>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</si>
  <si>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</si>
  <si>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</si>
  <si>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</si>
  <si>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</si>
  <si>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</si>
  <si>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</si>
  <si>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</si>
  <si>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</si>
  <si>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</si>
  <si>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</si>
  <si>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</si>
  <si>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</si>
  <si>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</si>
  <si>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</si>
  <si>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</si>
  <si>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</si>
  <si>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</si>
  <si>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</si>
  <si>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</si>
  <si>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</si>
  <si>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</si>
  <si>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</si>
  <si>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</si>
  <si>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</si>
  <si>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</si>
  <si>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</si>
  <si>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</si>
  <si>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</si>
  <si>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</si>
  <si>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</si>
  <si>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</si>
  <si>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</si>
  <si>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</si>
  <si>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</si>
  <si>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</si>
  <si>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</si>
  <si>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</si>
  <si>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</si>
  <si>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</si>
  <si>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</si>
  <si>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</si>
  <si>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</si>
  <si>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</si>
  <si>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</si>
  <si>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</si>
  <si>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</si>
  <si>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</si>
  <si>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</si>
  <si>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</si>
  <si>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</si>
  <si>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</si>
  <si>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</si>
  <si>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</si>
  <si>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</si>
  <si>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</si>
  <si>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</si>
  <si>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</si>
  <si>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</si>
  <si>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</si>
  <si>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</si>
  <si>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</si>
  <si>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</si>
  <si>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</si>
  <si>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</si>
  <si>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</si>
  <si>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</si>
  <si>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</si>
  <si>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</si>
  <si>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</si>
  <si>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</si>
  <si>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</si>
  <si>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</si>
  <si>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</si>
  <si>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</si>
  <si>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</si>
  <si>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</si>
  <si>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</si>
  <si>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</si>
  <si>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</si>
  <si>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</si>
  <si>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</si>
  <si>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</si>
  <si>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</si>
  <si>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</si>
  <si>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</si>
  <si>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</si>
  <si>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</si>
  <si>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</si>
  <si>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</si>
  <si>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</si>
  <si>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</si>
  <si>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</si>
  <si>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</si>
  <si>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</si>
  <si>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</si>
  <si>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</si>
  <si>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</si>
  <si>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</si>
  <si>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</si>
  <si>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</si>
  <si>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</si>
  <si>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</si>
  <si>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</si>
  <si>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</si>
  <si>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</si>
  <si>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</si>
  <si>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</si>
  <si>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</si>
  <si>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</si>
  <si>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</si>
  <si>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</si>
  <si>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</si>
  <si>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</si>
  <si>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</si>
  <si>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</si>
  <si>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</si>
  <si>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</si>
  <si>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</si>
  <si>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</si>
  <si>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</si>
  <si>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</si>
  <si>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</si>
  <si>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</si>
  <si>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</si>
  <si>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</si>
  <si>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</si>
  <si>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</si>
  <si>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</si>
  <si>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</si>
  <si>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</si>
  <si>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</si>
  <si>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</si>
  <si>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</si>
  <si>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</si>
  <si>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</si>
  <si>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</si>
  <si>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</si>
  <si>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</si>
  <si>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</si>
  <si>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</si>
  <si>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</si>
  <si>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</si>
  <si>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</si>
  <si>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</si>
  <si>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</si>
  <si>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</si>
  <si>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</si>
  <si>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</si>
  <si>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</si>
  <si>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</si>
  <si>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</si>
  <si>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</si>
  <si>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</si>
  <si>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</si>
  <si>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</si>
  <si>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</si>
  <si>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</si>
  <si>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</si>
  <si>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</si>
  <si>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</si>
  <si>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</si>
  <si>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</si>
  <si>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</si>
  <si>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</si>
  <si>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</si>
  <si>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</si>
  <si>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</si>
  <si>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</si>
  <si>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</si>
  <si>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</si>
  <si>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</si>
  <si>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</si>
  <si>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</si>
  <si>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</si>
  <si>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</si>
  <si>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</si>
  <si>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</si>
  <si>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</si>
  <si>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</si>
  <si>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</si>
  <si>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</si>
  <si>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</si>
  <si>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</si>
  <si>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</si>
  <si>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</si>
  <si>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</si>
  <si>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</si>
  <si>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</si>
  <si>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</si>
  <si>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</si>
  <si>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</si>
  <si>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</si>
  <si>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</si>
  <si>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</si>
  <si>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</si>
  <si>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</si>
  <si>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</si>
  <si>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</si>
  <si>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</si>
  <si>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</si>
  <si>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</si>
  <si>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</si>
  <si>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</si>
  <si>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</si>
  <si>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</si>
  <si>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</si>
  <si>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</si>
  <si>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</si>
  <si>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</si>
  <si>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</si>
  <si>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</si>
  <si>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</si>
  <si>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</si>
  <si>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</si>
  <si>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</si>
  <si>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</si>
  <si>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</si>
  <si>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</si>
  <si>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</si>
  <si>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</si>
  <si>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</si>
  <si>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</si>
  <si>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</si>
  <si>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</si>
  <si>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</si>
  <si>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</si>
  <si>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</si>
  <si>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</si>
  <si>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</si>
  <si>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</si>
  <si>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</si>
  <si>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</si>
  <si>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</si>
  <si>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</si>
  <si>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</si>
  <si>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</si>
  <si>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</si>
  <si>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</si>
  <si>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</si>
  <si>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</si>
  <si>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</si>
  <si>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</si>
  <si>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</si>
  <si>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</si>
  <si>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</si>
  <si>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</si>
  <si>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</si>
  <si>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</si>
  <si>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</si>
  <si>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</si>
  <si>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</si>
  <si>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</si>
  <si>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</si>
  <si>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</si>
  <si>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</si>
  <si>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</si>
  <si>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</si>
  <si>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</si>
  <si>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</si>
  <si>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</si>
  <si>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</si>
  <si>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</si>
  <si>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</si>
  <si>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</si>
  <si>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</si>
  <si>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</si>
  <si>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</si>
  <si>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</si>
  <si>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</si>
  <si>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</si>
  <si>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</si>
  <si>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</si>
  <si>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</si>
  <si>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</si>
  <si>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</si>
  <si>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</si>
  <si>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</si>
  <si>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</si>
  <si>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</si>
  <si>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</si>
  <si>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</si>
  <si>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</si>
  <si>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</si>
  <si>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</si>
  <si>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</si>
  <si>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</si>
  <si>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</si>
  <si>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</si>
  <si>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</si>
  <si>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</si>
  <si>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</si>
  <si>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</si>
  <si>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</si>
  <si>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</si>
  <si>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</si>
  <si>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</si>
  <si>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</si>
  <si>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</si>
  <si>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</si>
  <si>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</si>
  <si>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</si>
  <si>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</si>
  <si>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</si>
  <si>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</si>
  <si>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</si>
  <si>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</si>
  <si>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</si>
  <si>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</si>
  <si>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</si>
  <si>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</si>
  <si>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</si>
  <si>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</si>
  <si>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</si>
  <si>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</si>
  <si>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</si>
  <si>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</si>
  <si>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</si>
  <si>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</si>
  <si>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</si>
  <si>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</si>
  <si>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</si>
  <si>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</si>
  <si>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</si>
  <si>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</si>
  <si>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</si>
  <si>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</si>
  <si>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</si>
  <si>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</si>
  <si>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</si>
  <si>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</si>
  <si>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</si>
  <si>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</si>
  <si>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</si>
  <si>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</si>
  <si>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</si>
  <si>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</si>
  <si>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</si>
  <si>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</si>
  <si>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</si>
  <si>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</si>
  <si>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</si>
  <si>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</si>
  <si>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</si>
  <si>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</si>
  <si>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</si>
  <si>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</si>
  <si>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</si>
  <si>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</si>
  <si>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</si>
  <si>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</si>
  <si>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</si>
  <si>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</si>
  <si>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</si>
  <si>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</si>
  <si>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</si>
  <si>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</si>
  <si>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</si>
  <si>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</si>
  <si>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</si>
  <si>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</si>
  <si>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</si>
  <si>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</si>
  <si>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</si>
  <si>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</si>
  <si>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</si>
  <si>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</si>
  <si>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</si>
  <si>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</si>
  <si>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</si>
  <si>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</si>
  <si>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</si>
  <si>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</si>
  <si>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</si>
  <si>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</si>
  <si>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</si>
  <si>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</si>
  <si>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</si>
  <si>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</si>
  <si>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</si>
  <si>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</si>
  <si>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</si>
  <si>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</si>
  <si>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</si>
  <si>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</si>
  <si>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</si>
  <si>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</si>
  <si>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</si>
  <si>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</si>
  <si>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</si>
  <si>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</si>
  <si>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</si>
  <si>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</si>
  <si>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</si>
  <si>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</si>
  <si>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</si>
  <si>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</si>
  <si>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</si>
  <si>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</si>
  <si>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</si>
  <si>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</si>
  <si>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</si>
  <si>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</si>
  <si>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</si>
  <si>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</si>
  <si>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</si>
  <si>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</si>
  <si>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</si>
  <si>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</si>
  <si>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</si>
  <si>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</si>
  <si>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</si>
  <si>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</si>
  <si>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</si>
  <si>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</si>
  <si>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</si>
  <si>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</si>
  <si>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</si>
  <si>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</si>
  <si>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</si>
  <si>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</si>
  <si>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</si>
  <si>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</si>
  <si>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</si>
  <si>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</si>
  <si>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</si>
  <si>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</si>
  <si>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</si>
  <si>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</si>
  <si>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</si>
  <si>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</si>
  <si>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</si>
  <si>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</si>
  <si>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</si>
  <si>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</si>
  <si>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</si>
  <si>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</si>
  <si>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</si>
  <si>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</si>
  <si>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</si>
  <si>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</si>
  <si>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</si>
  <si>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</si>
  <si>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</si>
  <si>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</si>
  <si>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</si>
  <si>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</si>
  <si>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</si>
  <si>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</si>
  <si>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</si>
  <si>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</si>
  <si>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</si>
  <si>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</si>
  <si>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</si>
  <si>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</si>
  <si>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</si>
  <si>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</si>
  <si>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</si>
  <si>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</si>
  <si>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</si>
  <si>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</si>
  <si>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</si>
  <si>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</si>
  <si>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</si>
  <si>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</si>
  <si>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</si>
  <si>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</si>
  <si>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</si>
  <si>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</si>
  <si>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</si>
  <si>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</si>
  <si>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</si>
  <si>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</si>
  <si>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</si>
  <si>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</si>
  <si>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</si>
  <si>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</si>
  <si>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</si>
  <si>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</si>
  <si>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</si>
  <si>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</si>
  <si>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</si>
  <si>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</si>
  <si>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</si>
  <si>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</si>
  <si>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</si>
  <si>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</si>
  <si>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</si>
  <si>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</si>
  <si>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</si>
  <si>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</si>
  <si>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</si>
  <si>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</si>
  <si>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</si>
  <si>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</si>
  <si>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</si>
  <si>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</si>
  <si>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</si>
  <si>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</si>
  <si>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</si>
  <si>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</si>
  <si>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</si>
  <si>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</si>
  <si>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</si>
  <si>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</si>
  <si>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</si>
  <si>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</si>
  <si>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</si>
  <si>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</si>
  <si>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</si>
  <si>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</si>
  <si>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</si>
  <si>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</si>
  <si>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</si>
  <si>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</si>
  <si>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</si>
  <si>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</si>
  <si>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</si>
  <si>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</si>
  <si>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</si>
  <si>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</si>
  <si>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</si>
  <si>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</si>
  <si>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</si>
  <si>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</si>
  <si>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</si>
  <si>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</si>
  <si>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</si>
  <si>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</si>
  <si>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</si>
  <si>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</si>
  <si>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</si>
  <si>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</si>
  <si>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</si>
  <si>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</si>
  <si>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</si>
  <si>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</si>
  <si>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</si>
  <si>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</si>
  <si>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</si>
  <si>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</si>
  <si>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</si>
  <si>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</si>
  <si>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</si>
  <si>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</si>
  <si>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</si>
  <si>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</si>
  <si>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</si>
  <si>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</si>
  <si>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</si>
  <si>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</si>
  <si>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</si>
  <si>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</si>
  <si>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</si>
  <si>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</si>
  <si>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</si>
  <si>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</si>
  <si>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</si>
  <si>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</si>
  <si>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</si>
  <si>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</si>
  <si>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</si>
  <si>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</si>
  <si>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</si>
  <si>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</si>
  <si>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</si>
  <si>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</si>
  <si>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</si>
  <si>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</si>
  <si>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</si>
  <si>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</si>
  <si>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</si>
  <si>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</si>
  <si>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</si>
  <si>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</si>
  <si>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</si>
  <si>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</si>
  <si>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</si>
  <si>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</si>
  <si>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</si>
  <si>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</si>
  <si>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</si>
  <si>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</si>
  <si>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</si>
  <si>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</si>
  <si>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</si>
  <si>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</si>
  <si>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</si>
  <si>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</si>
  <si>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</si>
  <si>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</si>
  <si>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</si>
  <si>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</si>
  <si>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</si>
  <si>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</si>
  <si>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</si>
  <si>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</si>
  <si>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</si>
  <si>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</si>
  <si>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</si>
  <si>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</si>
  <si>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</si>
  <si>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</si>
  <si>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</si>
  <si>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</si>
  <si>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</si>
  <si>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</si>
  <si>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</si>
  <si>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</si>
  <si>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</si>
  <si>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</si>
  <si>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</si>
  <si>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</si>
  <si>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</si>
  <si>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</si>
  <si>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</si>
  <si>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</si>
  <si>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</si>
  <si>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</si>
  <si>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</si>
  <si>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</si>
  <si>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</si>
  <si>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</si>
  <si>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</si>
  <si>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</si>
  <si>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</si>
  <si>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</si>
  <si>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</si>
  <si>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</si>
  <si>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</si>
  <si>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</si>
  <si>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</si>
  <si>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</si>
  <si>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</si>
  <si>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</si>
  <si>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</si>
  <si>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</si>
  <si>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</si>
  <si>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</si>
  <si>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</si>
  <si>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</si>
  <si>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</si>
  <si>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</si>
  <si>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</si>
  <si>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</si>
  <si>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</si>
  <si>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</si>
  <si>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</si>
  <si>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</si>
  <si>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</si>
  <si>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</si>
  <si>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</si>
  <si>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</si>
  <si>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</si>
  <si>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</si>
  <si>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</si>
  <si>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</si>
  <si>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</si>
  <si>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</si>
  <si>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</si>
  <si>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</si>
  <si>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</si>
  <si>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</si>
  <si>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</si>
  <si>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</si>
  <si>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</si>
  <si>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</si>
  <si>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</si>
  <si>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</si>
  <si>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</si>
  <si>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</si>
  <si>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</si>
  <si>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</si>
  <si>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</si>
  <si>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</si>
  <si>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</si>
  <si>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</si>
  <si>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</si>
  <si>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</si>
  <si>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</si>
  <si>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</si>
  <si>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</si>
  <si>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</si>
  <si>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</si>
  <si>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</si>
  <si>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</si>
  <si>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</si>
  <si>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</si>
  <si>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</si>
  <si>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</si>
  <si>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</si>
  <si>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</si>
  <si>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</si>
  <si>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</si>
  <si>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</si>
  <si>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</si>
  <si>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</si>
  <si>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</si>
  <si>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</si>
  <si>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</si>
  <si>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</si>
  <si>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</si>
  <si>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</si>
  <si>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</si>
  <si>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</si>
  <si>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</si>
  <si>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</si>
  <si>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</si>
  <si>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</si>
  <si>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</si>
  <si>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</si>
  <si>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</si>
  <si>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</si>
  <si>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</si>
  <si>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</si>
  <si>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</si>
  <si>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</si>
  <si>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</si>
  <si>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</si>
  <si>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</si>
  <si>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</si>
  <si>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</si>
  <si>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</si>
  <si>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</si>
  <si>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</si>
  <si>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</si>
  <si>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</si>
  <si>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</si>
  <si>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</si>
  <si>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</si>
  <si>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</si>
  <si>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</si>
  <si>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</si>
  <si>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</si>
  <si>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</si>
  <si>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</si>
  <si>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</si>
  <si>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</si>
  <si>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</si>
  <si>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</si>
  <si>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</si>
  <si>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</si>
  <si>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</si>
  <si>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</si>
  <si>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</si>
  <si>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</si>
  <si>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</si>
  <si>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</si>
  <si>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</si>
  <si>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</si>
  <si>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</si>
  <si>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</si>
  <si>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</si>
  <si>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</si>
  <si>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</si>
  <si>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</si>
  <si>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</si>
  <si>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</si>
  <si>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</si>
  <si>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</si>
  <si>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</si>
  <si>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</si>
  <si>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</si>
  <si>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</si>
  <si>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</si>
  <si>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</si>
  <si>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</si>
  <si>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</si>
  <si>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</si>
  <si>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</si>
  <si>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</si>
  <si>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</si>
  <si>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</si>
  <si>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</si>
  <si>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</si>
  <si>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</si>
  <si>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</si>
  <si>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</si>
  <si>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</si>
  <si>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</si>
  <si>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</si>
  <si>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</si>
  <si>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</si>
  <si>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</si>
  <si>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</si>
  <si>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</si>
  <si>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</si>
  <si>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</si>
  <si>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</si>
  <si>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</si>
  <si>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</si>
  <si>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</si>
  <si>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</si>
  <si>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</si>
  <si>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</si>
  <si>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</si>
  <si>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</si>
  <si>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</si>
  <si>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</si>
  <si>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</si>
  <si>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</si>
  <si>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</si>
  <si>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</si>
  <si>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</si>
  <si>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</si>
  <si>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</si>
  <si>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</si>
  <si>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</si>
  <si>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</si>
  <si>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</si>
  <si>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</si>
  <si>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</si>
  <si>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</si>
  <si>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</si>
  <si>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</si>
  <si>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</si>
  <si>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</si>
  <si>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</si>
  <si>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</si>
  <si>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</si>
  <si>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</si>
  <si>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</si>
  <si>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</si>
  <si>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</si>
  <si>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</si>
  <si>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</si>
  <si>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</si>
  <si>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</si>
  <si>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</si>
  <si>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</si>
  <si>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</si>
  <si>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</si>
  <si>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</si>
  <si>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</si>
  <si>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</si>
  <si>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</si>
  <si>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</si>
  <si>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</si>
  <si>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</si>
  <si>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</si>
  <si>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</si>
  <si>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</si>
  <si>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</si>
  <si>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</si>
  <si>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</si>
  <si>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</si>
  <si>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</si>
  <si>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</si>
  <si>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</si>
  <si>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</si>
  <si>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</si>
  <si>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</si>
  <si>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</si>
  <si>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</si>
  <si>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</si>
  <si>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</si>
  <si>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</si>
  <si>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</si>
  <si>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</si>
  <si>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</si>
  <si>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</si>
  <si>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</si>
  <si>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</si>
  <si>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</si>
  <si>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</si>
  <si>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</si>
  <si>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</si>
  <si>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</si>
  <si>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</si>
  <si>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</si>
  <si>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</si>
  <si>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</si>
  <si>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</si>
  <si>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</si>
  <si>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</si>
  <si>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</si>
  <si>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</si>
  <si>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</si>
  <si>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</si>
  <si>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</si>
  <si>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</si>
  <si>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</si>
  <si>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</si>
  <si>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</si>
  <si>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</si>
  <si>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</si>
  <si>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</si>
  <si>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</si>
  <si>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</si>
  <si>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</si>
  <si>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</si>
  <si>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</si>
  <si>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</si>
  <si>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</si>
  <si>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</si>
  <si>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</si>
  <si>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</si>
  <si>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</si>
  <si>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</si>
  <si>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</si>
  <si>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</si>
  <si>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</si>
  <si>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</si>
  <si>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</si>
  <si>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</si>
  <si>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</si>
  <si>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</si>
  <si>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</si>
  <si>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</si>
  <si>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</si>
  <si>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</si>
  <si>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</si>
  <si>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</si>
  <si>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</si>
  <si>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</si>
  <si>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</si>
  <si>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</si>
  <si>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</si>
  <si>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</si>
  <si>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</si>
  <si>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</si>
  <si>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</si>
  <si>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</si>
  <si>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</si>
  <si>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</si>
  <si>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</si>
  <si>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</si>
  <si>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</si>
  <si>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</si>
  <si>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</si>
  <si>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</si>
  <si>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</si>
  <si>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</si>
  <si>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</si>
  <si>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</si>
  <si>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</si>
  <si>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</si>
  <si>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</si>
  <si>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</si>
  <si>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</si>
  <si>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</si>
  <si>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</si>
  <si>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</si>
  <si>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</si>
  <si>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</si>
  <si>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</si>
  <si>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</si>
  <si>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</si>
  <si>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</si>
  <si>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</si>
  <si>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</si>
  <si>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</si>
  <si>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</si>
  <si>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</si>
  <si>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</si>
  <si>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</si>
  <si>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</si>
  <si>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</si>
  <si>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</si>
  <si>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</si>
  <si>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</si>
  <si>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</si>
  <si>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</si>
  <si>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</si>
  <si>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</si>
  <si>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</si>
  <si>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</si>
  <si>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</si>
  <si>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</si>
  <si>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</si>
  <si>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</si>
  <si>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</si>
  <si>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</si>
  <si>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</si>
  <si>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</si>
  <si>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</si>
  <si>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</si>
  <si>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</si>
  <si>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</si>
  <si>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</si>
  <si>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</si>
  <si>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</si>
  <si>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</si>
  <si>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</si>
  <si>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</si>
  <si>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</si>
  <si>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</si>
  <si>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</si>
  <si>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</si>
  <si>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</si>
  <si>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</si>
  <si>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</si>
  <si>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</si>
  <si>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</si>
  <si>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</si>
  <si>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</si>
  <si>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</si>
  <si>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</si>
  <si>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</si>
  <si>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</si>
  <si>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</si>
  <si>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</si>
  <si>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</si>
  <si>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</si>
  <si>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</si>
  <si>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</si>
  <si>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</si>
  <si>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</si>
  <si>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</si>
  <si>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</si>
  <si>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</si>
  <si>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</si>
  <si>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</si>
  <si>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</si>
  <si>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</si>
  <si>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</si>
  <si>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</si>
  <si>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</si>
  <si>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</si>
  <si>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</si>
  <si>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</si>
  <si>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</si>
  <si>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</si>
  <si>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</si>
  <si>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</si>
  <si>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</si>
  <si>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</si>
  <si>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</si>
  <si>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</si>
  <si>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</si>
  <si>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</si>
  <si>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</si>
  <si>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</si>
  <si>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</si>
  <si>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</si>
  <si>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</si>
  <si>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</si>
  <si>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</si>
  <si>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</si>
  <si>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</si>
  <si>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</si>
  <si>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</si>
  <si>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</si>
  <si>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</si>
  <si>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</si>
  <si>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</si>
  <si>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</si>
  <si>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</si>
  <si>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</si>
  <si>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</si>
  <si>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</si>
  <si>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</si>
  <si>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</si>
  <si>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</si>
  <si>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</si>
  <si>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</si>
  <si>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</si>
  <si>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</si>
  <si>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</si>
  <si>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</si>
  <si>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</si>
  <si>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</si>
  <si>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</si>
  <si>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</si>
  <si>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</si>
  <si>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</si>
  <si>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</si>
  <si>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</si>
  <si>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</si>
  <si>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</si>
  <si>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</si>
  <si>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</si>
  <si>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</si>
  <si>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</si>
  <si>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</si>
  <si>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</si>
  <si>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</si>
  <si>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</si>
  <si>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</si>
  <si>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</si>
  <si>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</si>
  <si>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</si>
  <si>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</si>
  <si>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</si>
  <si>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</si>
  <si>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</si>
  <si>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</si>
  <si>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</si>
  <si>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</si>
  <si>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</si>
  <si>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</si>
  <si>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</si>
  <si>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</si>
  <si>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</si>
  <si>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</si>
  <si>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</si>
  <si>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</si>
  <si>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</si>
  <si>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</si>
  <si>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</si>
  <si>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</si>
  <si>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</si>
  <si>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</si>
  <si>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</si>
  <si>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</si>
  <si>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</si>
  <si>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</si>
  <si>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</si>
  <si>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</si>
  <si>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</si>
  <si>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</si>
  <si>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</si>
  <si>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</si>
  <si>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</si>
  <si>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</si>
  <si>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</si>
  <si>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</si>
  <si>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</si>
  <si>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</si>
  <si>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</si>
  <si>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</si>
  <si>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</si>
  <si>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</si>
  <si>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</si>
  <si>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</si>
  <si>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</si>
  <si>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</si>
  <si>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</si>
  <si>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</si>
  <si>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</si>
  <si>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</si>
  <si>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</si>
  <si>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</si>
  <si>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</si>
  <si>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</si>
  <si>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</si>
  <si>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</si>
  <si>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</si>
  <si>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</si>
  <si>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</si>
  <si>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</si>
  <si>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</si>
  <si>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</si>
  <si>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</si>
  <si>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</si>
  <si>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</si>
  <si>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</si>
  <si>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</si>
  <si>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</si>
  <si>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</si>
  <si>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</si>
  <si>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</si>
  <si>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</si>
  <si>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</si>
  <si>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</si>
  <si>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</si>
  <si>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</si>
  <si>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</si>
  <si>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</si>
  <si>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</si>
  <si>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</si>
  <si>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</si>
  <si>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</si>
  <si>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</si>
  <si>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</si>
  <si>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</si>
  <si>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</si>
  <si>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</si>
  <si>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</si>
  <si>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</si>
  <si>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</si>
  <si>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</si>
  <si>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</si>
  <si>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</si>
  <si>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</si>
  <si>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</si>
  <si>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</si>
  <si>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</si>
  <si>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</si>
  <si>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</si>
  <si>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</si>
  <si>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</si>
  <si>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</si>
  <si>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</si>
  <si>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</si>
  <si>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</si>
  <si>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</si>
  <si>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</si>
  <si>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</si>
  <si>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</si>
  <si>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</si>
  <si>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</si>
  <si>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</si>
  <si>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</si>
  <si>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</si>
  <si>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</si>
  <si>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</si>
  <si>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</si>
  <si>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</si>
  <si>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</si>
  <si>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</si>
  <si>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</si>
  <si>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</si>
  <si>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</si>
  <si>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</si>
  <si>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</si>
  <si>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</si>
  <si>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</si>
  <si>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</si>
  <si>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</si>
  <si>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</si>
  <si>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</si>
  <si>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</si>
  <si>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</si>
  <si>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</si>
  <si>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</si>
  <si>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</si>
  <si>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</si>
  <si>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</si>
  <si>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</si>
  <si>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</si>
  <si>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</si>
  <si>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</si>
  <si>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</si>
  <si>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</si>
  <si>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</si>
  <si>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</si>
  <si>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</si>
  <si>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</si>
  <si>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</si>
  <si>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</si>
  <si>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</si>
  <si>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</si>
  <si>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</si>
  <si>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</si>
  <si>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</si>
  <si>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</si>
  <si>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</si>
  <si>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</si>
  <si>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</si>
  <si>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</si>
  <si>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</si>
  <si>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</si>
  <si>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</si>
  <si>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</si>
  <si>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</si>
  <si>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</si>
  <si>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</si>
  <si>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</si>
  <si>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</si>
  <si>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</si>
  <si>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</si>
  <si>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</si>
  <si>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</si>
  <si>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</si>
  <si>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</si>
  <si>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</si>
  <si>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</si>
  <si>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</si>
  <si>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</si>
  <si>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</si>
  <si>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</si>
  <si>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</si>
  <si>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</si>
  <si>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</si>
  <si>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</si>
  <si>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</si>
  <si>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</si>
  <si>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</si>
  <si>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</si>
  <si>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</si>
  <si>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</si>
  <si>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</si>
  <si>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</si>
  <si>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</si>
  <si>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</si>
  <si>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</si>
  <si>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</si>
  <si>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</si>
  <si>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</si>
  <si>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</si>
  <si>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</si>
  <si>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</si>
  <si>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</si>
  <si>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</si>
  <si>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</si>
  <si>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</si>
  <si>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</si>
  <si>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</si>
  <si>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</si>
  <si>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</si>
  <si>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</si>
  <si>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</si>
  <si>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</si>
  <si>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</si>
  <si>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</si>
  <si>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</si>
  <si>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</si>
  <si>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</si>
  <si>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</si>
  <si>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</si>
  <si>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</si>
  <si>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</si>
  <si>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</si>
  <si>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</si>
  <si>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</si>
  <si>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</si>
  <si>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</si>
  <si>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</si>
  <si>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</si>
  <si>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</si>
  <si>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</si>
  <si>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</si>
  <si>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</si>
  <si>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</si>
  <si>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</si>
  <si>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</si>
  <si>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</si>
  <si>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</si>
  <si>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</si>
  <si>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</si>
  <si>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</si>
  <si>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</si>
  <si>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</si>
  <si>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</si>
  <si>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</si>
  <si>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</si>
  <si>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</si>
  <si>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</si>
  <si>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</si>
  <si>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</si>
  <si>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</si>
  <si>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</si>
  <si>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</si>
  <si>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</si>
  <si>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</si>
  <si>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</si>
  <si>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</si>
  <si>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</si>
  <si>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</si>
  <si>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</si>
  <si>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</si>
  <si>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</si>
  <si>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</si>
  <si>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</si>
  <si>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</si>
  <si>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</si>
  <si>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</si>
  <si>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</si>
  <si>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</si>
  <si>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</si>
  <si>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</si>
  <si>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</si>
  <si>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</si>
  <si>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</si>
  <si>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</si>
  <si>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</si>
  <si>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</si>
  <si>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</si>
  <si>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</si>
  <si>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</si>
  <si>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</si>
  <si>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</si>
  <si>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</si>
  <si>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</si>
  <si>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</si>
  <si>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</si>
  <si>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</si>
  <si>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</si>
  <si>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</si>
  <si>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</si>
  <si>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</si>
  <si>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</si>
  <si>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</si>
  <si>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</si>
  <si>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</si>
  <si>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</si>
  <si>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</si>
  <si>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</si>
  <si>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</si>
  <si>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</si>
  <si>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</si>
  <si>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</si>
  <si>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</si>
  <si>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</si>
  <si>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</si>
  <si>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</si>
  <si>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</si>
  <si>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</si>
  <si>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</si>
  <si>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</si>
  <si>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</si>
  <si>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</si>
  <si>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</si>
  <si>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</si>
  <si>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</si>
  <si>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</si>
  <si>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</si>
  <si>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</si>
  <si>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</si>
  <si>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</si>
  <si>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</si>
  <si>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</si>
  <si>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</si>
  <si>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</si>
  <si>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</si>
  <si>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</si>
  <si>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</si>
  <si>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</si>
  <si>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</si>
  <si>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</si>
  <si>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</si>
  <si>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</si>
  <si>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</si>
  <si>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</si>
  <si>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</si>
  <si>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</si>
  <si>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</si>
  <si>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</si>
  <si>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</si>
  <si>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</si>
  <si>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</si>
  <si>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</si>
  <si>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</si>
  <si>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</si>
  <si>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</si>
  <si>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</si>
  <si>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</si>
  <si>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</si>
  <si>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</si>
  <si>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</si>
  <si>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</si>
  <si>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</si>
  <si>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</si>
  <si>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</si>
  <si>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</si>
  <si>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</si>
  <si>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</si>
  <si>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</si>
  <si>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</si>
  <si>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</si>
  <si>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</si>
  <si>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</si>
  <si>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</si>
  <si>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</si>
  <si>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</si>
  <si>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</si>
  <si>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</si>
  <si>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</si>
  <si>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</si>
  <si>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</si>
  <si>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</si>
  <si>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</si>
  <si>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</si>
  <si>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</si>
  <si>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</si>
  <si>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</si>
  <si>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</si>
  <si>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</si>
  <si>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</si>
  <si>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</si>
  <si>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</si>
  <si>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</si>
  <si>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</si>
  <si>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</si>
  <si>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</si>
  <si>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</si>
  <si>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</si>
  <si>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</si>
  <si>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</si>
  <si>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</si>
  <si>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</si>
  <si>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</si>
  <si>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</si>
  <si>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</si>
  <si>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</si>
  <si>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</si>
  <si>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</si>
  <si>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</si>
  <si>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</si>
  <si>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</si>
  <si>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</si>
  <si>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</si>
  <si>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</si>
  <si>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</si>
  <si>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</si>
  <si>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</si>
  <si>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</si>
  <si>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</si>
  <si>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</si>
  <si>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</si>
  <si>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</si>
  <si>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</si>
  <si>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</si>
  <si>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</si>
  <si>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</si>
  <si>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</si>
  <si>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</si>
  <si>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</si>
  <si>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</si>
  <si>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</si>
  <si>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</si>
  <si>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</si>
  <si>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</si>
  <si>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</si>
  <si>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</si>
  <si>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</si>
  <si>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</si>
  <si>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</si>
  <si>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</si>
  <si>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</si>
  <si>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</si>
  <si>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</si>
  <si>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</si>
  <si>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</si>
  <si>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</si>
  <si>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</si>
  <si>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</si>
  <si>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</si>
  <si>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</si>
  <si>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</si>
  <si>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</si>
  <si>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</si>
  <si>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</si>
  <si>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</si>
  <si>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</si>
  <si>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</si>
  <si>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</si>
  <si>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</si>
  <si>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</si>
  <si>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</si>
  <si>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</si>
  <si>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</si>
  <si>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</si>
  <si>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</si>
  <si>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</si>
  <si>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</si>
  <si>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</si>
  <si>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</si>
  <si>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</si>
  <si>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</si>
  <si>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</si>
  <si>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</si>
  <si>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</si>
  <si>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</si>
  <si>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</si>
  <si>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</si>
  <si>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</si>
  <si>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</si>
  <si>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</si>
  <si>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</si>
  <si>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30/3/97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</si>
  <si>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</si>
  <si>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</si>
  <si>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</si>
  <si>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</si>
  <si>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</si>
  <si>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</si>
  <si>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</si>
  <si>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</si>
  <si>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</si>
  <si>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</si>
  <si>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</si>
  <si>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</si>
  <si>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فارس</t>
  </si>
  <si>
    <t>شفن</t>
  </si>
  <si>
    <t>شفن 6291</t>
  </si>
  <si>
    <t xml:space="preserve">فارس 45832 </t>
  </si>
  <si>
    <t>مبلغ اولیه 47.5  میلیون حدودا 20/3/97 آورده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</si>
</sst>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E54" sqref="E54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3899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3906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3907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3908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3909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3910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5266883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5" sqref="B5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98026.885302494877</v>
      </c>
      <c r="C2" s="91">
        <f>$S2/(1+($AC$3-$O2+$P2)/36500)^$N2</f>
        <v>98063.39598388935</v>
      </c>
      <c r="D2" s="91">
        <f>$S2/(1+($AC$4-$O2+$P2)/36500)^$N2</f>
        <v>98109.05402199048</v>
      </c>
      <c r="E2" s="91">
        <f>$S2/(1+($AC$5-$O2+$P2)/36500)^$N2</f>
        <v>98154.733943886094</v>
      </c>
      <c r="F2" s="91">
        <f>$S2/(1+($AC$6-$O2+$P2)/36500)^$N2</f>
        <v>98200.435760365886</v>
      </c>
      <c r="G2" s="91">
        <f>$S2/(1+($AC$7-$O2+$P2)/36500)^$N2</f>
        <v>98246.15948222288</v>
      </c>
      <c r="H2" s="91">
        <f>$S2/(1+($AC$8-$O2+$P2)/36500)^$N2</f>
        <v>98291.905120257696</v>
      </c>
      <c r="I2" s="91">
        <f>$S2/(1+($AC$9-$O2+$P2)/36500)^$N2</f>
        <v>98337.672685274752</v>
      </c>
      <c r="J2" s="91">
        <f>$S2/(1+($AC$10-$O2+$P2)/36500)^$N2</f>
        <v>98383.462188084668</v>
      </c>
      <c r="K2" s="91">
        <f>$S2/(1+($AC$11-$O2+$P2)/36500)^$N2</f>
        <v>98429.273639504871</v>
      </c>
      <c r="L2" s="91">
        <f>$S2/(1+($AC$5-$O2+$P2)/36500)^$N2</f>
        <v>98154.733943886094</v>
      </c>
      <c r="M2" s="90" t="s">
        <v>1000</v>
      </c>
      <c r="N2" s="90">
        <f>132-$AD$19</f>
        <v>34</v>
      </c>
      <c r="O2" s="90">
        <v>0</v>
      </c>
      <c r="P2" s="90">
        <v>0</v>
      </c>
      <c r="Q2" s="90">
        <v>0</v>
      </c>
      <c r="R2" s="90">
        <f t="shared" ref="R2:R29" si="0">N2/30.5</f>
        <v>1.1147540983606556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96036.396150465123</v>
      </c>
      <c r="C3" s="93">
        <f t="shared" ref="C3:C29" si="3">$S3/(1+($AC$3-$O3+$P3)/36500)^$N3</f>
        <v>96109.000729470063</v>
      </c>
      <c r="D3" s="93">
        <f t="shared" ref="D3:D29" si="4">$S3/(1+($AC$4-$O3+$P3)/36500)^$N3</f>
        <v>96199.834766714441</v>
      </c>
      <c r="E3" s="93">
        <f t="shared" ref="E3:E29" si="5">$S3/(1+($AC$5-$O3+$P3)/36500)^$N3</f>
        <v>96290.755897924391</v>
      </c>
      <c r="F3" s="93">
        <f t="shared" ref="F3:F29" si="6">$S3/(1+($AC$6-$O3+$P3)/36500)^$N3</f>
        <v>96381.764207804008</v>
      </c>
      <c r="G3" s="93">
        <f t="shared" ref="G3:G29" si="7">$S3/(1+($AC$7-$O3+$P3)/36500)^$N3</f>
        <v>96472.859781136547</v>
      </c>
      <c r="H3" s="93">
        <f t="shared" ref="H3:H29" si="8">$S3/(1+($AC$8-$O3+$P3)/36500)^$N3</f>
        <v>96564.042702793231</v>
      </c>
      <c r="I3" s="93">
        <f t="shared" ref="I3:I29" si="9">$S3/(1+($AC$9-$O3+$P3)/36500)^$N3</f>
        <v>96655.313057725623</v>
      </c>
      <c r="J3" s="93">
        <f t="shared" ref="J3:J29" si="10">$S3/(1+($AC$10-$O3+$P3)/36500)^$N3</f>
        <v>96746.670930970504</v>
      </c>
      <c r="K3" s="93">
        <f t="shared" ref="K3:K29" si="11">$S3/(1+($AC$11-$O3+$P3)/36500)^$N3</f>
        <v>96838.116407651032</v>
      </c>
      <c r="L3" s="93">
        <f t="shared" ref="L3:L29" si="12">$S3/(1+($AC$5-$O3+$P3)/36500)^$N3</f>
        <v>96290.755897924391</v>
      </c>
      <c r="M3" s="92" t="s">
        <v>1001</v>
      </c>
      <c r="N3" s="92">
        <f>167-$AD$19</f>
        <v>69</v>
      </c>
      <c r="O3" s="92">
        <v>0</v>
      </c>
      <c r="P3" s="92">
        <v>0</v>
      </c>
      <c r="Q3" s="92">
        <v>0</v>
      </c>
      <c r="R3" s="92">
        <f t="shared" si="0"/>
        <v>2.262295081967213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94417.788120149839</v>
      </c>
      <c r="C4" s="95">
        <f t="shared" si="3"/>
        <v>94519.185783233028</v>
      </c>
      <c r="D4" s="95">
        <f t="shared" si="4"/>
        <v>94646.087571998869</v>
      </c>
      <c r="E4" s="95">
        <f t="shared" si="5"/>
        <v>94773.161480464652</v>
      </c>
      <c r="F4" s="95">
        <f t="shared" si="6"/>
        <v>94900.407744444252</v>
      </c>
      <c r="G4" s="95">
        <f t="shared" si="7"/>
        <v>95027.826600071901</v>
      </c>
      <c r="H4" s="95">
        <f t="shared" si="8"/>
        <v>95155.418283814535</v>
      </c>
      <c r="I4" s="95">
        <f t="shared" si="9"/>
        <v>95283.183032461689</v>
      </c>
      <c r="J4" s="95">
        <f t="shared" si="10"/>
        <v>95411.121083132486</v>
      </c>
      <c r="K4" s="95">
        <f t="shared" si="11"/>
        <v>95539.232673277875</v>
      </c>
      <c r="L4" s="95">
        <f t="shared" si="12"/>
        <v>94773.161480464652</v>
      </c>
      <c r="M4" s="94" t="s">
        <v>1002</v>
      </c>
      <c r="N4" s="94">
        <f>196-$AD$19</f>
        <v>98</v>
      </c>
      <c r="O4" s="94">
        <v>0</v>
      </c>
      <c r="P4" s="94">
        <v>0</v>
      </c>
      <c r="Q4" s="94">
        <v>0</v>
      </c>
      <c r="R4" s="94">
        <f t="shared" si="0"/>
        <v>3.2131147540983607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74466.325472440687</v>
      </c>
      <c r="C5" s="91">
        <f t="shared" si="3"/>
        <v>74877.702184696464</v>
      </c>
      <c r="D5" s="91">
        <f t="shared" si="4"/>
        <v>75395.12676006004</v>
      </c>
      <c r="E5" s="91">
        <f t="shared" si="5"/>
        <v>75916.134032662376</v>
      </c>
      <c r="F5" s="91">
        <f t="shared" si="6"/>
        <v>76440.748859014959</v>
      </c>
      <c r="G5" s="91">
        <f t="shared" si="7"/>
        <v>76968.996268401039</v>
      </c>
      <c r="H5" s="91">
        <f t="shared" si="8"/>
        <v>77500.901464128838</v>
      </c>
      <c r="I5" s="91">
        <f t="shared" si="9"/>
        <v>78036.489824699005</v>
      </c>
      <c r="J5" s="91">
        <f t="shared" si="10"/>
        <v>78575.786905053275</v>
      </c>
      <c r="K5" s="91">
        <f t="shared" si="11"/>
        <v>79118.818437810347</v>
      </c>
      <c r="L5" s="91">
        <f t="shared" si="12"/>
        <v>75916.134032662376</v>
      </c>
      <c r="M5" s="90" t="s">
        <v>1003</v>
      </c>
      <c r="N5" s="90">
        <f>601-$AD$19</f>
        <v>503</v>
      </c>
      <c r="O5" s="90">
        <v>0</v>
      </c>
      <c r="P5" s="90">
        <v>0</v>
      </c>
      <c r="Q5" s="90">
        <v>0</v>
      </c>
      <c r="R5" s="90">
        <f t="shared" si="0"/>
        <v>16.491803278688526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90304.170305027335</v>
      </c>
      <c r="C6" s="93">
        <f t="shared" si="3"/>
        <v>90476.430882919609</v>
      </c>
      <c r="D6" s="93">
        <f t="shared" si="4"/>
        <v>90692.221430729231</v>
      </c>
      <c r="E6" s="93">
        <f t="shared" si="5"/>
        <v>90908.529614124607</v>
      </c>
      <c r="F6" s="93">
        <f t="shared" si="6"/>
        <v>91125.356681920646</v>
      </c>
      <c r="G6" s="93">
        <f t="shared" si="7"/>
        <v>91342.70388595204</v>
      </c>
      <c r="H6" s="93">
        <f t="shared" si="8"/>
        <v>91560.572481101117</v>
      </c>
      <c r="I6" s="93">
        <f t="shared" si="9"/>
        <v>91778.963725286769</v>
      </c>
      <c r="J6" s="93">
        <f t="shared" si="10"/>
        <v>91997.878879483571</v>
      </c>
      <c r="K6" s="93">
        <f t="shared" si="11"/>
        <v>92217.319207731882</v>
      </c>
      <c r="L6" s="93">
        <f t="shared" si="12"/>
        <v>90908.529614124607</v>
      </c>
      <c r="M6" s="92" t="s">
        <v>1004</v>
      </c>
      <c r="N6" s="92">
        <f>272-$AD$19</f>
        <v>174</v>
      </c>
      <c r="O6" s="92">
        <v>0</v>
      </c>
      <c r="P6" s="92">
        <v>0</v>
      </c>
      <c r="Q6" s="92">
        <v>0</v>
      </c>
      <c r="R6" s="92">
        <f t="shared" si="0"/>
        <v>5.7049180327868854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75698.522609388092</v>
      </c>
      <c r="C7" s="95">
        <f t="shared" si="3"/>
        <v>76093.367165548916</v>
      </c>
      <c r="D7" s="95">
        <f t="shared" si="4"/>
        <v>76589.826448113628</v>
      </c>
      <c r="E7" s="95">
        <f t="shared" si="5"/>
        <v>77089.531665334347</v>
      </c>
      <c r="F7" s="95">
        <f t="shared" si="6"/>
        <v>77592.504084568573</v>
      </c>
      <c r="G7" s="95">
        <f t="shared" si="7"/>
        <v>78098.765112787471</v>
      </c>
      <c r="H7" s="95">
        <f t="shared" si="8"/>
        <v>78608.336297542599</v>
      </c>
      <c r="I7" s="95">
        <f t="shared" si="9"/>
        <v>79121.239327847594</v>
      </c>
      <c r="J7" s="95">
        <f t="shared" si="10"/>
        <v>79637.49603513637</v>
      </c>
      <c r="K7" s="95">
        <f t="shared" si="11"/>
        <v>80157.128394206491</v>
      </c>
      <c r="L7" s="95">
        <f t="shared" si="12"/>
        <v>77089.531665334347</v>
      </c>
      <c r="M7" s="94" t="s">
        <v>1005</v>
      </c>
      <c r="N7" s="94">
        <f>573-$AD$19</f>
        <v>475</v>
      </c>
      <c r="O7" s="94">
        <v>0</v>
      </c>
      <c r="P7" s="94">
        <v>0</v>
      </c>
      <c r="Q7" s="94">
        <v>0</v>
      </c>
      <c r="R7" s="94">
        <f t="shared" si="0"/>
        <v>15.573770491803279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89566.183125306008</v>
      </c>
      <c r="C8" s="91">
        <f t="shared" si="3"/>
        <v>89750.796885704593</v>
      </c>
      <c r="D8" s="91">
        <f t="shared" si="4"/>
        <v>89982.102146169331</v>
      </c>
      <c r="E8" s="91">
        <f t="shared" si="5"/>
        <v>90214.006704334985</v>
      </c>
      <c r="F8" s="91">
        <f t="shared" si="6"/>
        <v>90446.512121187203</v>
      </c>
      <c r="G8" s="91">
        <f t="shared" si="7"/>
        <v>90679.619961787976</v>
      </c>
      <c r="H8" s="91">
        <f t="shared" si="8"/>
        <v>90913.331795308419</v>
      </c>
      <c r="I8" s="91">
        <f t="shared" si="9"/>
        <v>91147.649195019752</v>
      </c>
      <c r="J8" s="91">
        <f t="shared" si="10"/>
        <v>91382.573738316583</v>
      </c>
      <c r="K8" s="91">
        <f t="shared" si="11"/>
        <v>91618.107006730701</v>
      </c>
      <c r="L8" s="91">
        <f t="shared" si="12"/>
        <v>90214.006704334985</v>
      </c>
      <c r="M8" s="90" t="s">
        <v>1007</v>
      </c>
      <c r="N8" s="90">
        <f>286-$AD$19</f>
        <v>188</v>
      </c>
      <c r="O8" s="90">
        <v>0</v>
      </c>
      <c r="P8" s="90">
        <v>0</v>
      </c>
      <c r="Q8" s="90">
        <v>0</v>
      </c>
      <c r="R8" s="90">
        <f t="shared" si="0"/>
        <v>6.1639344262295079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80456.455962200445</v>
      </c>
      <c r="C9" s="93">
        <f t="shared" si="3"/>
        <v>80784.047303138621</v>
      </c>
      <c r="D9" s="93">
        <f t="shared" si="4"/>
        <v>81195.417910234668</v>
      </c>
      <c r="E9" s="93">
        <f t="shared" si="5"/>
        <v>81608.888984488134</v>
      </c>
      <c r="F9" s="93">
        <f t="shared" si="6"/>
        <v>82024.471279917125</v>
      </c>
      <c r="G9" s="93">
        <f t="shared" si="7"/>
        <v>82442.175605726996</v>
      </c>
      <c r="H9" s="93">
        <f t="shared" si="8"/>
        <v>82862.012826633916</v>
      </c>
      <c r="I9" s="93">
        <f t="shared" si="9"/>
        <v>83283.993863115174</v>
      </c>
      <c r="J9" s="93">
        <f t="shared" si="10"/>
        <v>83708.129691718583</v>
      </c>
      <c r="K9" s="93">
        <f t="shared" si="11"/>
        <v>84134.431345356395</v>
      </c>
      <c r="L9" s="93">
        <f t="shared" si="12"/>
        <v>81608.888984488134</v>
      </c>
      <c r="M9" s="92" t="s">
        <v>1006</v>
      </c>
      <c r="N9" s="92">
        <f>469-$AD$19</f>
        <v>371</v>
      </c>
      <c r="O9" s="92">
        <v>0</v>
      </c>
      <c r="P9" s="92">
        <v>0</v>
      </c>
      <c r="Q9" s="92">
        <v>0</v>
      </c>
      <c r="R9" s="92">
        <f t="shared" si="0"/>
        <v>12.163934426229508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80456.455962200445</v>
      </c>
      <c r="C10" s="95">
        <f t="shared" si="3"/>
        <v>80784.047303138621</v>
      </c>
      <c r="D10" s="95">
        <f t="shared" si="4"/>
        <v>81195.417910234668</v>
      </c>
      <c r="E10" s="95">
        <f t="shared" si="5"/>
        <v>81608.888984488134</v>
      </c>
      <c r="F10" s="95">
        <f t="shared" si="6"/>
        <v>82024.471279917125</v>
      </c>
      <c r="G10" s="95">
        <f t="shared" si="7"/>
        <v>82442.175605726996</v>
      </c>
      <c r="H10" s="95">
        <f t="shared" si="8"/>
        <v>82862.012826633916</v>
      </c>
      <c r="I10" s="95">
        <f t="shared" si="9"/>
        <v>83283.993863115174</v>
      </c>
      <c r="J10" s="95">
        <f t="shared" si="10"/>
        <v>83708.129691718583</v>
      </c>
      <c r="K10" s="95">
        <f t="shared" si="11"/>
        <v>84134.431345356395</v>
      </c>
      <c r="L10" s="95">
        <f t="shared" si="12"/>
        <v>81608.888984488134</v>
      </c>
      <c r="M10" s="94" t="s">
        <v>1006</v>
      </c>
      <c r="N10" s="94">
        <f>469-$AD$19</f>
        <v>371</v>
      </c>
      <c r="O10" s="94">
        <v>0</v>
      </c>
      <c r="P10" s="94">
        <v>0</v>
      </c>
      <c r="Q10" s="94">
        <v>0</v>
      </c>
      <c r="R10" s="94">
        <f t="shared" si="0"/>
        <v>12.163934426229508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73555.358184765937</v>
      </c>
      <c r="C11" s="91">
        <f t="shared" si="3"/>
        <v>73978.715810362133</v>
      </c>
      <c r="D11" s="91">
        <f t="shared" si="4"/>
        <v>74511.347667284848</v>
      </c>
      <c r="E11" s="91">
        <f t="shared" si="5"/>
        <v>75047.821737477978</v>
      </c>
      <c r="F11" s="91">
        <f t="shared" si="6"/>
        <v>75588.165790462881</v>
      </c>
      <c r="G11" s="91">
        <f t="shared" si="7"/>
        <v>76132.407796822939</v>
      </c>
      <c r="H11" s="91">
        <f t="shared" si="8"/>
        <v>76680.575929714149</v>
      </c>
      <c r="I11" s="91">
        <f t="shared" si="9"/>
        <v>77232.698566288367</v>
      </c>
      <c r="J11" s="91">
        <f t="shared" si="10"/>
        <v>77788.804289202555</v>
      </c>
      <c r="K11" s="91">
        <f t="shared" si="11"/>
        <v>78348.921888116995</v>
      </c>
      <c r="L11" s="91">
        <f t="shared" si="12"/>
        <v>75047.821737477978</v>
      </c>
      <c r="M11" s="90" t="s">
        <v>1010</v>
      </c>
      <c r="N11" s="90">
        <f>622-$AD$19</f>
        <v>524</v>
      </c>
      <c r="O11" s="90">
        <v>0</v>
      </c>
      <c r="P11" s="90">
        <v>0</v>
      </c>
      <c r="Q11" s="90">
        <v>0</v>
      </c>
      <c r="R11" s="90">
        <f t="shared" si="0"/>
        <v>17.180327868852459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90994.887757268749</v>
      </c>
      <c r="C12" s="93">
        <f>$S12/(1+($AC$3-$O12+$P12)/36500)^$N12</f>
        <v>91155.485999253811</v>
      </c>
      <c r="D12" s="93">
        <f t="shared" si="4"/>
        <v>91356.63493221243</v>
      </c>
      <c r="E12" s="93">
        <f t="shared" si="5"/>
        <v>91558.23049501855</v>
      </c>
      <c r="F12" s="93">
        <f t="shared" si="6"/>
        <v>91760.273685506239</v>
      </c>
      <c r="G12" s="93">
        <f t="shared" si="7"/>
        <v>91962.765503742819</v>
      </c>
      <c r="H12" s="93">
        <f t="shared" si="8"/>
        <v>92165.706952053311</v>
      </c>
      <c r="I12" s="93">
        <f t="shared" si="9"/>
        <v>92369.099035008287</v>
      </c>
      <c r="J12" s="93">
        <f t="shared" si="10"/>
        <v>92572.942759439829</v>
      </c>
      <c r="K12" s="93">
        <f t="shared" si="11"/>
        <v>92777.239134449046</v>
      </c>
      <c r="L12" s="93">
        <f t="shared" si="12"/>
        <v>91558.23049501855</v>
      </c>
      <c r="M12" s="92" t="s">
        <v>1011</v>
      </c>
      <c r="N12" s="92">
        <f>259-$AD$19</f>
        <v>161</v>
      </c>
      <c r="O12" s="92">
        <v>0</v>
      </c>
      <c r="P12" s="92">
        <v>0</v>
      </c>
      <c r="Q12" s="92">
        <v>0</v>
      </c>
      <c r="R12" s="92">
        <f t="shared" si="0"/>
        <v>5.278688524590164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70888.777371602904</v>
      </c>
      <c r="C13" s="95">
        <f t="shared" si="3"/>
        <v>71345.999623395997</v>
      </c>
      <c r="D13" s="95">
        <f t="shared" si="4"/>
        <v>71921.683841067555</v>
      </c>
      <c r="E13" s="95">
        <f t="shared" si="5"/>
        <v>72502.021178278679</v>
      </c>
      <c r="F13" s="95">
        <f t="shared" si="6"/>
        <v>73087.04930958894</v>
      </c>
      <c r="G13" s="95">
        <f t="shared" si="7"/>
        <v>73676.806215088727</v>
      </c>
      <c r="H13" s="95">
        <f t="shared" si="8"/>
        <v>74271.33018293741</v>
      </c>
      <c r="I13" s="95">
        <f t="shared" si="9"/>
        <v>74870.659811815931</v>
      </c>
      <c r="J13" s="95">
        <f t="shared" si="10"/>
        <v>75474.834013481566</v>
      </c>
      <c r="K13" s="95">
        <f t="shared" si="11"/>
        <v>76083.892015318896</v>
      </c>
      <c r="L13" s="95">
        <f t="shared" si="12"/>
        <v>72502.021178278679</v>
      </c>
      <c r="M13" s="94" t="s">
        <v>1012</v>
      </c>
      <c r="N13" s="94">
        <f>685-$AD$19</f>
        <v>587</v>
      </c>
      <c r="O13" s="94">
        <v>0</v>
      </c>
      <c r="P13" s="94">
        <v>0</v>
      </c>
      <c r="Q13" s="94">
        <v>0</v>
      </c>
      <c r="R13" s="94">
        <f t="shared" si="0"/>
        <v>19.245901639344261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72061.776683235628</v>
      </c>
      <c r="C14" s="91">
        <f t="shared" si="3"/>
        <v>72504.326211091495</v>
      </c>
      <c r="D14" s="91">
        <f t="shared" si="4"/>
        <v>73061.343881996465</v>
      </c>
      <c r="E14" s="91">
        <f t="shared" si="5"/>
        <v>73622.648579799439</v>
      </c>
      <c r="F14" s="91">
        <f t="shared" si="6"/>
        <v>74188.273358529987</v>
      </c>
      <c r="G14" s="91">
        <f t="shared" si="7"/>
        <v>74758.251527503133</v>
      </c>
      <c r="H14" s="91">
        <f t="shared" si="8"/>
        <v>75332.616653348756</v>
      </c>
      <c r="I14" s="91">
        <f t="shared" si="9"/>
        <v>75911.402561954004</v>
      </c>
      <c r="J14" s="91">
        <f t="shared" si="10"/>
        <v>76494.643340500435</v>
      </c>
      <c r="K14" s="91">
        <f t="shared" si="11"/>
        <v>77082.373339493002</v>
      </c>
      <c r="L14" s="91">
        <f t="shared" si="12"/>
        <v>73622.648579799439</v>
      </c>
      <c r="M14" s="90" t="s">
        <v>1013</v>
      </c>
      <c r="N14" s="90">
        <f>657-$AD$19</f>
        <v>559</v>
      </c>
      <c r="O14" s="90">
        <v>0</v>
      </c>
      <c r="P14" s="90">
        <v>0</v>
      </c>
      <c r="Q14" s="90">
        <v>0</v>
      </c>
      <c r="R14" s="90">
        <f t="shared" si="0"/>
        <v>18.327868852459016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72061.776683235628</v>
      </c>
      <c r="C15" s="93">
        <f t="shared" si="3"/>
        <v>72504.326211091495</v>
      </c>
      <c r="D15" s="93">
        <f t="shared" si="4"/>
        <v>73061.343881996465</v>
      </c>
      <c r="E15" s="93">
        <f t="shared" si="5"/>
        <v>73622.648579799439</v>
      </c>
      <c r="F15" s="93">
        <f t="shared" si="6"/>
        <v>74188.273358529987</v>
      </c>
      <c r="G15" s="93">
        <f t="shared" si="7"/>
        <v>74758.251527503133</v>
      </c>
      <c r="H15" s="93">
        <f t="shared" si="8"/>
        <v>75332.616653348756</v>
      </c>
      <c r="I15" s="93">
        <f t="shared" si="9"/>
        <v>75911.402561954004</v>
      </c>
      <c r="J15" s="93">
        <f t="shared" si="10"/>
        <v>76494.643340500435</v>
      </c>
      <c r="K15" s="93">
        <f t="shared" si="11"/>
        <v>77082.373339493002</v>
      </c>
      <c r="L15" s="93">
        <f t="shared" si="12"/>
        <v>73622.648579799439</v>
      </c>
      <c r="M15" s="92" t="s">
        <v>1013</v>
      </c>
      <c r="N15" s="92">
        <f>657-$AD$19</f>
        <v>559</v>
      </c>
      <c r="O15" s="92">
        <v>0</v>
      </c>
      <c r="P15" s="92">
        <v>0</v>
      </c>
      <c r="Q15" s="92">
        <v>0</v>
      </c>
      <c r="R15" s="92">
        <f t="shared" si="0"/>
        <v>18.327868852459016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74466.325472440687</v>
      </c>
      <c r="C16" s="95">
        <f t="shared" si="3"/>
        <v>74877.702184696464</v>
      </c>
      <c r="D16" s="95">
        <f t="shared" si="4"/>
        <v>75395.12676006004</v>
      </c>
      <c r="E16" s="95">
        <f t="shared" si="5"/>
        <v>75916.134032662376</v>
      </c>
      <c r="F16" s="95">
        <f t="shared" si="6"/>
        <v>76440.748859014959</v>
      </c>
      <c r="G16" s="95">
        <f t="shared" si="7"/>
        <v>76968.996268401039</v>
      </c>
      <c r="H16" s="95">
        <f t="shared" si="8"/>
        <v>77500.901464128838</v>
      </c>
      <c r="I16" s="95">
        <f t="shared" si="9"/>
        <v>78036.489824699005</v>
      </c>
      <c r="J16" s="95">
        <f t="shared" si="10"/>
        <v>78575.786905053275</v>
      </c>
      <c r="K16" s="95">
        <f t="shared" si="11"/>
        <v>79118.818437810347</v>
      </c>
      <c r="L16" s="95">
        <f t="shared" si="12"/>
        <v>75916.134032662376</v>
      </c>
      <c r="M16" s="94" t="s">
        <v>1003</v>
      </c>
      <c r="N16" s="94">
        <f>601-$AD$19</f>
        <v>503</v>
      </c>
      <c r="O16" s="94">
        <v>0</v>
      </c>
      <c r="P16" s="94">
        <v>0</v>
      </c>
      <c r="Q16" s="94">
        <v>0</v>
      </c>
      <c r="R16" s="94">
        <f t="shared" si="0"/>
        <v>16.491803278688526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83878.742911386216</v>
      </c>
      <c r="C17" s="91">
        <f t="shared" si="3"/>
        <v>85081.190859284994</v>
      </c>
      <c r="D17" s="91">
        <f t="shared" si="4"/>
        <v>86608.53926149357</v>
      </c>
      <c r="E17" s="91">
        <f t="shared" si="5"/>
        <v>88163.327585186082</v>
      </c>
      <c r="F17" s="91">
        <f t="shared" si="6"/>
        <v>89746.049194412684</v>
      </c>
      <c r="G17" s="91">
        <f t="shared" si="7"/>
        <v>91357.206330833636</v>
      </c>
      <c r="H17" s="91">
        <f t="shared" si="8"/>
        <v>92997.310273514377</v>
      </c>
      <c r="I17" s="91">
        <f t="shared" si="9"/>
        <v>94666.881501523283</v>
      </c>
      <c r="J17" s="91">
        <f t="shared" si="10"/>
        <v>96366.449859931687</v>
      </c>
      <c r="K17" s="91">
        <f t="shared" si="11"/>
        <v>98096.554728144227</v>
      </c>
      <c r="L17" s="91">
        <f t="shared" si="12"/>
        <v>88163.327585186082</v>
      </c>
      <c r="M17" s="90" t="s">
        <v>1018</v>
      </c>
      <c r="N17" s="90">
        <f>1397-$AD$19</f>
        <v>1299</v>
      </c>
      <c r="O17" s="90">
        <v>17</v>
      </c>
      <c r="P17" s="90">
        <f>$AI$2</f>
        <v>0.54</v>
      </c>
      <c r="Q17" s="90">
        <v>6</v>
      </c>
      <c r="R17" s="90">
        <f t="shared" si="0"/>
        <v>42.590163934426229</v>
      </c>
      <c r="S17" s="91">
        <v>100000</v>
      </c>
      <c r="T17" s="91">
        <v>96000</v>
      </c>
      <c r="U17" s="91">
        <f t="shared" si="13"/>
        <v>179604.01676586526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98838.619558907958</v>
      </c>
      <c r="C18" s="93">
        <f t="shared" si="3"/>
        <v>99344.65460537441</v>
      </c>
      <c r="D18" s="93">
        <f>$S18/(1+($AC$4-$O18+$P18)/36500)^$N18</f>
        <v>99980.851152631833</v>
      </c>
      <c r="E18" s="93">
        <f t="shared" si="5"/>
        <v>100621.13065908542</v>
      </c>
      <c r="F18" s="93">
        <f t="shared" si="6"/>
        <v>101265.51938468227</v>
      </c>
      <c r="G18" s="93">
        <f t="shared" si="7"/>
        <v>101914.04375861365</v>
      </c>
      <c r="H18" s="93">
        <f t="shared" si="8"/>
        <v>102566.73038043123</v>
      </c>
      <c r="I18" s="93">
        <f t="shared" si="9"/>
        <v>103223.60602111682</v>
      </c>
      <c r="J18" s="93">
        <f t="shared" si="10"/>
        <v>103884.69762423501</v>
      </c>
      <c r="K18" s="93">
        <f t="shared" si="11"/>
        <v>104550.03230701001</v>
      </c>
      <c r="L18" s="93">
        <f t="shared" si="12"/>
        <v>100621.13065908542</v>
      </c>
      <c r="M18" s="92" t="s">
        <v>984</v>
      </c>
      <c r="N18" s="92">
        <f>564-$AD$19</f>
        <v>466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15.278688524590164</v>
      </c>
      <c r="S18" s="93">
        <v>100000</v>
      </c>
      <c r="T18" s="93">
        <v>100000</v>
      </c>
      <c r="U18" s="93">
        <f t="shared" si="13"/>
        <v>129881.79799702989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92471.830385409616</v>
      </c>
      <c r="C19" s="95">
        <f t="shared" si="3"/>
        <v>92962.518385395073</v>
      </c>
      <c r="D19" s="95">
        <f t="shared" si="4"/>
        <v>93579.549175580425</v>
      </c>
      <c r="E19" s="95">
        <f t="shared" si="5"/>
        <v>94200.683990682635</v>
      </c>
      <c r="F19" s="95">
        <f t="shared" si="6"/>
        <v>94825.950184339948</v>
      </c>
      <c r="G19" s="95">
        <f t="shared" si="7"/>
        <v>95455.375292927682</v>
      </c>
      <c r="H19" s="95">
        <f t="shared" si="8"/>
        <v>96088.987036699895</v>
      </c>
      <c r="I19" s="95">
        <f t="shared" si="9"/>
        <v>96726.813321080743</v>
      </c>
      <c r="J19" s="95">
        <f t="shared" si="10"/>
        <v>97368.882237883838</v>
      </c>
      <c r="K19" s="95">
        <f t="shared" si="11"/>
        <v>98015.222066530288</v>
      </c>
      <c r="L19" s="95">
        <f t="shared" si="12"/>
        <v>94200.683990682635</v>
      </c>
      <c r="M19" s="94" t="s">
        <v>985</v>
      </c>
      <c r="N19" s="94">
        <f>581-$AD$19</f>
        <v>483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15.836065573770492</v>
      </c>
      <c r="S19" s="95">
        <v>100000</v>
      </c>
      <c r="T19" s="95">
        <v>92000</v>
      </c>
      <c r="U19" s="95">
        <f t="shared" si="13"/>
        <v>122732.18704071587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98</v>
      </c>
      <c r="AF19" s="26"/>
    </row>
    <row r="20" spans="1:32">
      <c r="A20" s="90" t="s">
        <v>959</v>
      </c>
      <c r="B20" s="91">
        <f>$S20/(1+($AC$2-$O20+$P20)/36500)^$N20</f>
        <v>98667.805740300857</v>
      </c>
      <c r="C20" s="91">
        <f t="shared" si="3"/>
        <v>99247.9842070499</v>
      </c>
      <c r="D20" s="91">
        <f t="shared" si="4"/>
        <v>99978.01611995975</v>
      </c>
      <c r="E20" s="91">
        <f t="shared" si="5"/>
        <v>100713.42799192901</v>
      </c>
      <c r="F20" s="91">
        <f t="shared" si="6"/>
        <v>101454.25954500859</v>
      </c>
      <c r="G20" s="91">
        <f t="shared" si="7"/>
        <v>102200.55079506669</v>
      </c>
      <c r="H20" s="91">
        <f t="shared" si="8"/>
        <v>102952.3420539925</v>
      </c>
      <c r="I20" s="91">
        <f t="shared" si="9"/>
        <v>103709.67393185513</v>
      </c>
      <c r="J20" s="91">
        <f t="shared" si="10"/>
        <v>104472.58733916526</v>
      </c>
      <c r="K20" s="91">
        <f t="shared" si="11"/>
        <v>105241.1234890584</v>
      </c>
      <c r="L20" s="91">
        <f t="shared" si="12"/>
        <v>100713.42799192901</v>
      </c>
      <c r="M20" s="90" t="s">
        <v>986</v>
      </c>
      <c r="N20" s="90">
        <f>633-$AD$19</f>
        <v>535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17.540983606557376</v>
      </c>
      <c r="S20" s="91">
        <v>100000</v>
      </c>
      <c r="T20" s="91">
        <v>100000</v>
      </c>
      <c r="U20" s="91">
        <f t="shared" si="13"/>
        <v>135008.53870705314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98499.756302286245</v>
      </c>
      <c r="C21" s="93">
        <f t="shared" si="3"/>
        <v>99152.806862473677</v>
      </c>
      <c r="D21" s="93">
        <f t="shared" si="4"/>
        <v>99975.222253368076</v>
      </c>
      <c r="E21" s="93">
        <f t="shared" si="5"/>
        <v>100804.47051242531</v>
      </c>
      <c r="F21" s="93">
        <f t="shared" si="6"/>
        <v>101640.60850389875</v>
      </c>
      <c r="G21" s="93">
        <f t="shared" si="7"/>
        <v>102483.69356604817</v>
      </c>
      <c r="H21" s="93">
        <f t="shared" si="8"/>
        <v>103333.7835151272</v>
      </c>
      <c r="I21" s="93">
        <f t="shared" si="9"/>
        <v>104190.93664933513</v>
      </c>
      <c r="J21" s="93">
        <f t="shared" si="10"/>
        <v>105055.21175289975</v>
      </c>
      <c r="K21" s="93">
        <f t="shared" si="11"/>
        <v>105926.66810008678</v>
      </c>
      <c r="L21" s="93">
        <f t="shared" si="12"/>
        <v>100804.47051242531</v>
      </c>
      <c r="M21" s="92" t="s">
        <v>987</v>
      </c>
      <c r="N21" s="92">
        <f>701-$AD$19</f>
        <v>603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19.770491803278688</v>
      </c>
      <c r="S21" s="93">
        <v>100000</v>
      </c>
      <c r="T21" s="93">
        <v>100000</v>
      </c>
      <c r="U21" s="93">
        <f t="shared" si="13"/>
        <v>140258.92800872933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93466.196589888015</v>
      </c>
      <c r="C22" s="95">
        <f t="shared" si="3"/>
        <v>94113.664075876601</v>
      </c>
      <c r="D22" s="95">
        <f t="shared" si="4"/>
        <v>94929.319474007963</v>
      </c>
      <c r="E22" s="95">
        <f t="shared" si="5"/>
        <v>95752.055235197491</v>
      </c>
      <c r="F22" s="95">
        <f t="shared" si="6"/>
        <v>96581.932919376995</v>
      </c>
      <c r="G22" s="95">
        <f t="shared" si="7"/>
        <v>97419.014622529299</v>
      </c>
      <c r="H22" s="95">
        <f t="shared" si="8"/>
        <v>98263.362981434228</v>
      </c>
      <c r="I22" s="95">
        <f t="shared" si="9"/>
        <v>99115.041178303931</v>
      </c>
      <c r="J22" s="95">
        <f t="shared" si="10"/>
        <v>99974.112945640605</v>
      </c>
      <c r="K22" s="95">
        <f t="shared" si="11"/>
        <v>100840.64257093205</v>
      </c>
      <c r="L22" s="95">
        <f t="shared" si="12"/>
        <v>95752.055235197491</v>
      </c>
      <c r="M22" s="94" t="s">
        <v>1016</v>
      </c>
      <c r="N22" s="94">
        <f>728-$AD$19</f>
        <v>630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20.655737704918032</v>
      </c>
      <c r="S22" s="95">
        <v>100000</v>
      </c>
      <c r="T22" s="95">
        <v>95000</v>
      </c>
      <c r="U22" s="95">
        <f t="shared" si="13"/>
        <v>135214.37222763518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91133.030432757005</v>
      </c>
      <c r="C23" s="91">
        <f t="shared" si="3"/>
        <v>91707.006298695604</v>
      </c>
      <c r="D23" s="91">
        <f t="shared" si="4"/>
        <v>92429.571368702789</v>
      </c>
      <c r="E23" s="91">
        <f t="shared" si="5"/>
        <v>93157.839586807822</v>
      </c>
      <c r="F23" s="91">
        <f t="shared" si="6"/>
        <v>93891.856046514644</v>
      </c>
      <c r="G23" s="91">
        <f t="shared" si="7"/>
        <v>94631.66619854857</v>
      </c>
      <c r="H23" s="91">
        <f t="shared" si="8"/>
        <v>95377.315853595239</v>
      </c>
      <c r="I23" s="91">
        <f t="shared" si="9"/>
        <v>96128.851185228181</v>
      </c>
      <c r="J23" s="91">
        <f t="shared" si="10"/>
        <v>96886.31873276463</v>
      </c>
      <c r="K23" s="91">
        <f t="shared" si="11"/>
        <v>97649.765404132966</v>
      </c>
      <c r="L23" s="91">
        <f t="shared" si="12"/>
        <v>93157.839586807822</v>
      </c>
      <c r="M23" s="90" t="s">
        <v>988</v>
      </c>
      <c r="N23" s="90">
        <f>671-$AD$19</f>
        <v>573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18.78688524590164</v>
      </c>
      <c r="S23" s="91">
        <v>100000</v>
      </c>
      <c r="T23" s="91">
        <v>90600</v>
      </c>
      <c r="U23" s="91">
        <f t="shared" si="13"/>
        <v>127507.16398579301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84481.680374043965</v>
      </c>
      <c r="C24" s="93">
        <f t="shared" si="3"/>
        <v>85306.739764483005</v>
      </c>
      <c r="D24" s="93">
        <f>$S24/(1+($AC$4-$O24+$P24)/36500)^$N24</f>
        <v>86349.417194980299</v>
      </c>
      <c r="E24" s="93">
        <f t="shared" si="5"/>
        <v>87404.853487049739</v>
      </c>
      <c r="F24" s="93">
        <f t="shared" si="6"/>
        <v>88473.204944180135</v>
      </c>
      <c r="G24" s="93">
        <f t="shared" si="7"/>
        <v>89554.629786871024</v>
      </c>
      <c r="H24" s="93">
        <f t="shared" si="8"/>
        <v>90649.288176075308</v>
      </c>
      <c r="I24" s="93">
        <f t="shared" si="9"/>
        <v>91757.342237182631</v>
      </c>
      <c r="J24" s="93">
        <f t="shared" si="10"/>
        <v>92878.956083977726</v>
      </c>
      <c r="K24" s="93">
        <f t="shared" si="11"/>
        <v>94014.29584319581</v>
      </c>
      <c r="L24" s="93">
        <f t="shared" si="12"/>
        <v>87404.853487049739</v>
      </c>
      <c r="M24" s="92" t="s">
        <v>989</v>
      </c>
      <c r="N24" s="92">
        <f>985-$AD$19</f>
        <v>887</v>
      </c>
      <c r="O24" s="92">
        <v>15</v>
      </c>
      <c r="P24" s="92">
        <f>$AI$2</f>
        <v>0.54</v>
      </c>
      <c r="Q24" s="92">
        <v>6</v>
      </c>
      <c r="R24" s="92">
        <f t="shared" si="0"/>
        <v>29.081967213114755</v>
      </c>
      <c r="S24" s="93">
        <v>100000</v>
      </c>
      <c r="T24" s="93">
        <v>85800</v>
      </c>
      <c r="U24" s="93">
        <f t="shared" si="13"/>
        <v>142085.87557360154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85613.745793979542</v>
      </c>
      <c r="C25" s="95">
        <f t="shared" si="3"/>
        <v>85862.594124146883</v>
      </c>
      <c r="D25" s="95">
        <f t="shared" si="4"/>
        <v>86174.675793618313</v>
      </c>
      <c r="E25" s="95">
        <f t="shared" si="5"/>
        <v>86487.896071092226</v>
      </c>
      <c r="F25" s="95">
        <f t="shared" si="6"/>
        <v>86802.259126381119</v>
      </c>
      <c r="G25" s="95">
        <f t="shared" si="7"/>
        <v>87117.769144610516</v>
      </c>
      <c r="H25" s="95">
        <f t="shared" si="8"/>
        <v>87434.430326305635</v>
      </c>
      <c r="I25" s="95">
        <f t="shared" si="9"/>
        <v>87752.246887421134</v>
      </c>
      <c r="J25" s="95">
        <f t="shared" si="10"/>
        <v>88071.22305941509</v>
      </c>
      <c r="K25" s="95">
        <f t="shared" si="11"/>
        <v>88391.363089310107</v>
      </c>
      <c r="L25" s="95">
        <f t="shared" si="12"/>
        <v>86487.896071092226</v>
      </c>
      <c r="M25" s="94" t="s">
        <v>990</v>
      </c>
      <c r="N25" s="94">
        <f>363-$AD$19</f>
        <v>265</v>
      </c>
      <c r="O25" s="94">
        <v>0</v>
      </c>
      <c r="P25" s="94">
        <v>0</v>
      </c>
      <c r="Q25" s="94">
        <v>0</v>
      </c>
      <c r="R25" s="94">
        <f t="shared" si="0"/>
        <v>8.6885245901639347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93960.947013165365</v>
      </c>
      <c r="C26" s="91">
        <f t="shared" si="3"/>
        <v>95175.491078810679</v>
      </c>
      <c r="D26" s="91">
        <f t="shared" si="4"/>
        <v>96715.791109885744</v>
      </c>
      <c r="E26" s="91">
        <f t="shared" si="5"/>
        <v>98281.040644672335</v>
      </c>
      <c r="F26" s="91">
        <f t="shared" si="6"/>
        <v>99871.644160883719</v>
      </c>
      <c r="G26" s="91">
        <f t="shared" si="7"/>
        <v>101488.012699201</v>
      </c>
      <c r="H26" s="91">
        <f t="shared" si="8"/>
        <v>103130.56396993209</v>
      </c>
      <c r="I26" s="91">
        <f t="shared" si="9"/>
        <v>104799.72246127369</v>
      </c>
      <c r="J26" s="91">
        <f t="shared" si="10"/>
        <v>106495.91954938867</v>
      </c>
      <c r="K26" s="91">
        <f t="shared" si="11"/>
        <v>108219.59361032787</v>
      </c>
      <c r="L26" s="91">
        <f t="shared" si="12"/>
        <v>98281.040644672335</v>
      </c>
      <c r="M26" s="90" t="s">
        <v>981</v>
      </c>
      <c r="N26" s="90">
        <f>1270-$AD$19</f>
        <v>1172</v>
      </c>
      <c r="O26" s="90">
        <v>20</v>
      </c>
      <c r="P26" s="90">
        <f>$AI$2</f>
        <v>0.54</v>
      </c>
      <c r="Q26" s="90">
        <v>6</v>
      </c>
      <c r="R26" s="90">
        <f t="shared" si="0"/>
        <v>38.42622950819672</v>
      </c>
      <c r="S26" s="91">
        <v>100000</v>
      </c>
      <c r="T26" s="91">
        <v>100000</v>
      </c>
      <c r="U26" s="91">
        <f t="shared" si="13"/>
        <v>186759.76013060054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100059.63428194443</v>
      </c>
      <c r="C27" s="93">
        <f t="shared" si="3"/>
        <v>100340.74586689391</v>
      </c>
      <c r="D27" s="93">
        <f t="shared" si="4"/>
        <v>100693.25057037236</v>
      </c>
      <c r="E27" s="93">
        <f t="shared" si="5"/>
        <v>101046.99850425665</v>
      </c>
      <c r="F27" s="93">
        <f t="shared" si="6"/>
        <v>101401.99407035607</v>
      </c>
      <c r="G27" s="93">
        <f t="shared" si="7"/>
        <v>101758.24168611481</v>
      </c>
      <c r="H27" s="93">
        <f t="shared" si="8"/>
        <v>102115.74578469231</v>
      </c>
      <c r="I27" s="93">
        <f t="shared" si="9"/>
        <v>102474.51081499875</v>
      </c>
      <c r="J27" s="93">
        <f t="shared" si="10"/>
        <v>102834.54124175735</v>
      </c>
      <c r="K27" s="93">
        <f t="shared" si="11"/>
        <v>103195.84154556348</v>
      </c>
      <c r="L27" s="93">
        <f t="shared" si="12"/>
        <v>101046.99850425665</v>
      </c>
      <c r="M27" s="92" t="s">
        <v>983</v>
      </c>
      <c r="N27" s="92">
        <f>354-$AD$19</f>
        <v>256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8.3934426229508201</v>
      </c>
      <c r="S27" s="93">
        <v>100000</v>
      </c>
      <c r="T27" s="93">
        <v>103000</v>
      </c>
      <c r="U27" s="93">
        <f t="shared" si="13"/>
        <v>116258.42547337159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99260.831643411919</v>
      </c>
      <c r="C28" s="95">
        <f t="shared" si="3"/>
        <v>100000</v>
      </c>
      <c r="D28" s="95">
        <f t="shared" si="4"/>
        <v>100931.71732453333</v>
      </c>
      <c r="E28" s="95">
        <f t="shared" si="5"/>
        <v>101872.1285630535</v>
      </c>
      <c r="F28" s="95">
        <f t="shared" si="6"/>
        <v>102821.31495980879</v>
      </c>
      <c r="G28" s="95">
        <f t="shared" si="7"/>
        <v>103779.35851936261</v>
      </c>
      <c r="H28" s="95">
        <f t="shared" si="8"/>
        <v>104746.34201381248</v>
      </c>
      <c r="I28" s="95">
        <f t="shared" si="9"/>
        <v>105722.34898988351</v>
      </c>
      <c r="J28" s="95">
        <f t="shared" si="10"/>
        <v>106707.46377625507</v>
      </c>
      <c r="K28" s="95">
        <f t="shared" si="11"/>
        <v>107701.77149085321</v>
      </c>
      <c r="L28" s="95">
        <f t="shared" si="12"/>
        <v>101872.1285630535</v>
      </c>
      <c r="M28" s="94" t="s">
        <v>1009</v>
      </c>
      <c r="N28" s="94">
        <f>775-$AD$19</f>
        <v>677</v>
      </c>
      <c r="O28" s="94">
        <v>21</v>
      </c>
      <c r="P28" s="94">
        <v>0</v>
      </c>
      <c r="Q28" s="94">
        <v>1</v>
      </c>
      <c r="R28" s="94">
        <f t="shared" si="0"/>
        <v>22.196721311475411</v>
      </c>
      <c r="S28" s="95">
        <v>100000</v>
      </c>
      <c r="T28" s="95">
        <v>104000</v>
      </c>
      <c r="U28" s="95">
        <f t="shared" si="13"/>
        <v>147608.0960988428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84631.303633900519</v>
      </c>
      <c r="C29" s="91">
        <f t="shared" si="3"/>
        <v>85782.480162104053</v>
      </c>
      <c r="D29" s="91">
        <f t="shared" si="4"/>
        <v>87243.513782662369</v>
      </c>
      <c r="E29" s="91">
        <f t="shared" si="5"/>
        <v>88729.452021826379</v>
      </c>
      <c r="F29" s="91">
        <f t="shared" si="6"/>
        <v>90240.719750815915</v>
      </c>
      <c r="G29" s="91">
        <f t="shared" si="7"/>
        <v>91777.749095178864</v>
      </c>
      <c r="H29" s="91">
        <f t="shared" si="8"/>
        <v>93340.979558684456</v>
      </c>
      <c r="I29" s="91">
        <f t="shared" si="9"/>
        <v>94930.85814926181</v>
      </c>
      <c r="J29" s="91">
        <f t="shared" si="10"/>
        <v>96547.839507542303</v>
      </c>
      <c r="K29" s="91">
        <f t="shared" si="11"/>
        <v>98192.386036969809</v>
      </c>
      <c r="L29" s="91">
        <f t="shared" si="12"/>
        <v>88729.452021826379</v>
      </c>
      <c r="M29" s="90" t="s">
        <v>1059</v>
      </c>
      <c r="N29" s="90">
        <f>1331-$AD$19</f>
        <v>1233</v>
      </c>
      <c r="O29" s="90">
        <v>17</v>
      </c>
      <c r="P29" s="90">
        <f>AI2</f>
        <v>0.54</v>
      </c>
      <c r="Q29" s="90">
        <v>6</v>
      </c>
      <c r="R29" s="90">
        <f t="shared" si="0"/>
        <v>40.42622950819672</v>
      </c>
      <c r="S29" s="91">
        <v>100000</v>
      </c>
      <c r="T29" s="91"/>
      <c r="U29" s="91">
        <f t="shared" si="13"/>
        <v>174339.05025031345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1270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8200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2456040.3794212216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B240" sqref="B24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3901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3903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3904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H10" zoomScaleNormal="100" workbookViewId="0">
      <selection activeCell="O34" sqref="O3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92419847</v>
      </c>
      <c r="G18" s="29">
        <f t="shared" si="0"/>
        <v>10058853.819000006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-5266883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599000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5266883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O26" t="s">
        <v>3915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3905</v>
      </c>
      <c r="L27" s="123">
        <v>100000</v>
      </c>
      <c r="M27" s="118"/>
      <c r="N27" s="119">
        <v>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124320</v>
      </c>
      <c r="M28" s="118" t="s">
        <v>3913</v>
      </c>
      <c r="N28" s="119">
        <v>24794000</v>
      </c>
      <c r="O28" s="119">
        <v>18174051</v>
      </c>
      <c r="P28" s="118" t="s">
        <v>3898</v>
      </c>
      <c r="Q28" s="118">
        <v>6</v>
      </c>
      <c r="R28" s="118" t="s">
        <v>3911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3914</v>
      </c>
      <c r="N29" s="119">
        <v>27902000</v>
      </c>
      <c r="O29" s="119">
        <v>8290964</v>
      </c>
      <c r="P29" s="4">
        <v>35493</v>
      </c>
      <c r="Q29" s="118">
        <f>Q28-4</f>
        <v>2</v>
      </c>
      <c r="R29" s="118" t="s">
        <v>3911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8300</v>
      </c>
      <c r="M30" s="118"/>
      <c r="N30" s="119"/>
      <c r="O30" s="119">
        <v>25064823</v>
      </c>
      <c r="P30" s="4">
        <v>35493</v>
      </c>
      <c r="Q30" s="118">
        <f>Q29</f>
        <v>2</v>
      </c>
      <c r="R30" s="118" t="s">
        <v>3912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119">
        <v>111180</v>
      </c>
      <c r="P31" s="4">
        <v>35554</v>
      </c>
      <c r="Q31" s="118">
        <f>Q30-2</f>
        <v>0</v>
      </c>
      <c r="R31" s="118" t="s">
        <v>3912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20">
        <f>N28+N29-O28-O29-O30-O31</f>
        <v>1054982</v>
      </c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92419847</v>
      </c>
      <c r="M35" s="2"/>
      <c r="N35" s="3">
        <f>SUM(N16:N30)</f>
        <v>167936890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778430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149419847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2018-06-26T11:38:43Z</dcterms:modified>
</cp:coreProperties>
</file>