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N92" i="52" l="1"/>
  <c r="P92" i="52" s="1"/>
  <c r="O92" i="52"/>
  <c r="N93" i="52"/>
  <c r="O93" i="52"/>
  <c r="N94" i="52"/>
  <c r="P94" i="52" s="1"/>
  <c r="O94" i="52"/>
  <c r="N95" i="52"/>
  <c r="O95" i="52"/>
  <c r="N96" i="52"/>
  <c r="O96" i="52"/>
  <c r="P96" i="52"/>
  <c r="N97" i="52"/>
  <c r="P97" i="52" s="1"/>
  <c r="O97" i="52"/>
  <c r="N98" i="52"/>
  <c r="P98" i="52" s="1"/>
  <c r="O98" i="52"/>
  <c r="J92" i="52"/>
  <c r="J93" i="52"/>
  <c r="J94" i="52"/>
  <c r="J95" i="52"/>
  <c r="J96" i="52"/>
  <c r="J97" i="52"/>
  <c r="J98" i="52"/>
  <c r="D68" i="52"/>
  <c r="O151" i="18"/>
  <c r="O150" i="18"/>
  <c r="O149" i="18"/>
  <c r="P93" i="52" l="1"/>
  <c r="P95" i="52"/>
  <c r="O153" i="18"/>
  <c r="N91" i="52"/>
  <c r="R284" i="18" l="1"/>
  <c r="R249" i="18"/>
  <c r="P167" i="18"/>
  <c r="W250" i="18"/>
  <c r="W249" i="18"/>
  <c r="W248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AL150" i="18"/>
  <c r="AM150" i="18" s="1"/>
  <c r="AL151" i="18"/>
  <c r="AM151" i="18" s="1"/>
  <c r="W247" i="18"/>
  <c r="G146" i="18" l="1"/>
  <c r="J146" i="18" s="1"/>
  <c r="G145" i="18"/>
  <c r="J145" i="18" s="1"/>
  <c r="G144" i="18"/>
  <c r="J144" i="18" s="1"/>
  <c r="G143" i="18"/>
  <c r="J143" i="18" s="1"/>
  <c r="J147" i="18" l="1"/>
  <c r="R219" i="18"/>
  <c r="W246" i="18"/>
  <c r="O90" i="52" l="1"/>
  <c r="O91" i="52"/>
  <c r="O99" i="52"/>
  <c r="P99" i="52"/>
  <c r="J90" i="52"/>
  <c r="J91" i="52"/>
  <c r="J99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5" i="18"/>
  <c r="N35" i="18" s="1"/>
  <c r="W245" i="18"/>
  <c r="G32" i="57" l="1"/>
  <c r="H32" i="57"/>
  <c r="D32" i="57"/>
  <c r="I32" i="57" s="1"/>
  <c r="D345" i="20"/>
  <c r="U252" i="18"/>
  <c r="W244" i="18"/>
  <c r="W243" i="18"/>
  <c r="W179" i="18" l="1"/>
  <c r="W178" i="18"/>
  <c r="T26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3" i="18" l="1"/>
  <c r="C37" i="56"/>
  <c r="B37" i="56"/>
  <c r="N55" i="18" l="1"/>
  <c r="P27" i="18"/>
  <c r="N27" i="18" s="1"/>
  <c r="P32" i="18"/>
  <c r="N32" i="18" s="1"/>
  <c r="O84" i="52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F51" i="14"/>
  <c r="F52" i="14"/>
  <c r="F53" i="14"/>
  <c r="F54" i="14"/>
  <c r="D341" i="20"/>
  <c r="AJ220" i="18" l="1"/>
  <c r="AL147" i="18" l="1"/>
  <c r="AM147" i="18" s="1"/>
  <c r="W238" i="18"/>
  <c r="AL145" i="18" l="1"/>
  <c r="AM145" i="18" s="1"/>
  <c r="D340" i="20" l="1"/>
  <c r="P36" i="18"/>
  <c r="N36" i="18" s="1"/>
  <c r="N64" i="18"/>
  <c r="P26" i="18"/>
  <c r="N26" i="18" s="1"/>
  <c r="P23" i="18"/>
  <c r="N23" i="18" s="1"/>
  <c r="N52" i="18"/>
  <c r="W237" i="18"/>
  <c r="H337" i="20"/>
  <c r="H338" i="20"/>
  <c r="H339" i="20"/>
  <c r="H340" i="20"/>
  <c r="H341" i="20"/>
  <c r="H368" i="20"/>
  <c r="H369" i="20"/>
  <c r="D339" i="20"/>
  <c r="O83" i="18" l="1"/>
  <c r="O82" i="18"/>
  <c r="O81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P91" i="52" s="1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0" i="52" l="1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0" i="18"/>
  <c r="M122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6" i="18"/>
  <c r="J136" i="18" s="1"/>
  <c r="G135" i="18"/>
  <c r="J135" i="18" s="1"/>
  <c r="G134" i="18"/>
  <c r="J134" i="18" s="1"/>
  <c r="G133" i="18"/>
  <c r="J133" i="18" s="1"/>
  <c r="J137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42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9" i="18"/>
  <c r="P25" i="18"/>
  <c r="N25" i="18" s="1"/>
  <c r="N22" i="18"/>
  <c r="P33" i="18"/>
  <c r="N33" i="18" s="1"/>
  <c r="AM219" i="18" l="1"/>
  <c r="AL218" i="18"/>
  <c r="W225" i="18"/>
  <c r="W224" i="18"/>
  <c r="N30" i="52"/>
  <c r="N29" i="52"/>
  <c r="AD27" i="52"/>
  <c r="Z27" i="52"/>
  <c r="AE27" i="52"/>
  <c r="AL217" i="18" l="1"/>
  <c r="AM218" i="18"/>
  <c r="W223" i="18"/>
  <c r="W222" i="18"/>
  <c r="N28" i="52"/>
  <c r="N27" i="52"/>
  <c r="AL216" i="18" l="1"/>
  <c r="AM217" i="18"/>
  <c r="AD26" i="52"/>
  <c r="AE26" i="52"/>
  <c r="N44" i="18"/>
  <c r="AM216" i="18" l="1"/>
  <c r="AL215" i="18"/>
  <c r="D313" i="20"/>
  <c r="AL214" i="18" l="1"/>
  <c r="AM215" i="18"/>
  <c r="L126" i="18"/>
  <c r="L123" i="18" s="1"/>
  <c r="AM214" i="18" l="1"/>
  <c r="AL213" i="18"/>
  <c r="L121" i="18"/>
  <c r="L122" i="18"/>
  <c r="N122" i="18" s="1"/>
  <c r="M126" i="18"/>
  <c r="L115" i="18"/>
  <c r="W221" i="18"/>
  <c r="W220" i="18"/>
  <c r="N24" i="52"/>
  <c r="N26" i="52"/>
  <c r="N25" i="52"/>
  <c r="AL212" i="18" l="1"/>
  <c r="AM213" i="18"/>
  <c r="N74" i="18"/>
  <c r="K125" i="18"/>
  <c r="L117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2" i="18"/>
  <c r="AL211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10" i="18"/>
  <c r="AM211" i="18"/>
  <c r="W217" i="18"/>
  <c r="W216" i="18"/>
  <c r="N21" i="52"/>
  <c r="N20" i="52"/>
  <c r="G366" i="20" l="1"/>
  <c r="I367" i="20"/>
  <c r="K367" i="20"/>
  <c r="J367" i="20"/>
  <c r="AL209" i="18"/>
  <c r="AM210" i="18"/>
  <c r="D309" i="20"/>
  <c r="J366" i="20" l="1"/>
  <c r="K366" i="20"/>
  <c r="I366" i="20"/>
  <c r="G365" i="20"/>
  <c r="AL208" i="18"/>
  <c r="AM209" i="18"/>
  <c r="D308" i="20"/>
  <c r="G364" i="20" l="1"/>
  <c r="I365" i="20"/>
  <c r="J365" i="20"/>
  <c r="K365" i="20"/>
  <c r="AL207" i="18"/>
  <c r="AM208" i="18"/>
  <c r="N50" i="18"/>
  <c r="AL152" i="18"/>
  <c r="D307" i="20"/>
  <c r="I364" i="20" l="1"/>
  <c r="J364" i="20"/>
  <c r="K364" i="20"/>
  <c r="G363" i="20"/>
  <c r="AL206" i="18"/>
  <c r="AM207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7" i="18"/>
  <c r="AM152" i="18"/>
  <c r="AD23" i="52"/>
  <c r="Z23" i="52"/>
  <c r="AE23" i="52"/>
  <c r="Z22" i="52"/>
  <c r="AD22" i="52"/>
  <c r="AE22" i="52"/>
  <c r="N61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5" i="18"/>
  <c r="AM206" i="18"/>
  <c r="W215" i="18"/>
  <c r="W214" i="18"/>
  <c r="K362" i="20" l="1"/>
  <c r="G361" i="20"/>
  <c r="I362" i="20"/>
  <c r="J362" i="20"/>
  <c r="AL204" i="18"/>
  <c r="AM205" i="18"/>
  <c r="AD21" i="52"/>
  <c r="AC21" i="52"/>
  <c r="AE21" i="52"/>
  <c r="AD20" i="52"/>
  <c r="AC20" i="52"/>
  <c r="AE20" i="52"/>
  <c r="I361" i="20" l="1"/>
  <c r="G360" i="20"/>
  <c r="J361" i="20"/>
  <c r="K361" i="20"/>
  <c r="AL203" i="18"/>
  <c r="AM204" i="18"/>
  <c r="G120" i="18"/>
  <c r="F120" i="18" s="1"/>
  <c r="G119" i="18"/>
  <c r="F119" i="18" s="1"/>
  <c r="G118" i="18"/>
  <c r="F118" i="18" s="1"/>
  <c r="G117" i="18"/>
  <c r="F117" i="18" s="1"/>
  <c r="G116" i="18"/>
  <c r="F116" i="18" s="1"/>
  <c r="G115" i="18"/>
  <c r="F115" i="18" s="1"/>
  <c r="P34" i="18"/>
  <c r="N34" i="18" s="1"/>
  <c r="P24" i="18"/>
  <c r="N24" i="18" s="1"/>
  <c r="I360" i="20" l="1"/>
  <c r="K360" i="20"/>
  <c r="G359" i="20"/>
  <c r="J360" i="20"/>
  <c r="AL202" i="18"/>
  <c r="AM203" i="18"/>
  <c r="D306" i="20"/>
  <c r="G358" i="20" l="1"/>
  <c r="J359" i="20"/>
  <c r="K359" i="20"/>
  <c r="I359" i="20"/>
  <c r="AL201" i="18"/>
  <c r="AM202" i="18"/>
  <c r="D305" i="20"/>
  <c r="K358" i="20" l="1"/>
  <c r="I358" i="20"/>
  <c r="G357" i="20"/>
  <c r="J358" i="20"/>
  <c r="AL200" i="18"/>
  <c r="AM201" i="18"/>
  <c r="AD19" i="52"/>
  <c r="AD18" i="52"/>
  <c r="Z19" i="52"/>
  <c r="Z18" i="52"/>
  <c r="AE19" i="52"/>
  <c r="AE18" i="52"/>
  <c r="I357" i="20" l="1"/>
  <c r="J357" i="20"/>
  <c r="G356" i="20"/>
  <c r="K357" i="20"/>
  <c r="AM200" i="18"/>
  <c r="AL199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6" i="18"/>
  <c r="L118" i="18"/>
  <c r="L119" i="18"/>
  <c r="L120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7" i="18"/>
  <c r="P31" i="18"/>
  <c r="P28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9" i="18"/>
  <c r="M121" i="18" s="1"/>
  <c r="N121" i="18" s="1"/>
  <c r="N57" i="18"/>
  <c r="M120" i="18" s="1"/>
  <c r="I350" i="20" l="1"/>
  <c r="J350" i="20"/>
  <c r="K350" i="20"/>
  <c r="G349" i="20"/>
  <c r="N120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198" i="18"/>
  <c r="AL197" i="18" s="1"/>
  <c r="AL196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9" i="18"/>
  <c r="AM198" i="18"/>
  <c r="AM197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8" i="18"/>
  <c r="M119" i="18" s="1"/>
  <c r="N62" i="18"/>
  <c r="K345" i="20" l="1"/>
  <c r="G344" i="20"/>
  <c r="J345" i="20"/>
  <c r="I345" i="20"/>
  <c r="N119" i="18"/>
  <c r="D292" i="20"/>
  <c r="C8" i="36"/>
  <c r="W201" i="18"/>
  <c r="N5" i="52"/>
  <c r="I344" i="20" l="1"/>
  <c r="K344" i="20"/>
  <c r="G343" i="20"/>
  <c r="J344" i="20"/>
  <c r="N5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1" i="18"/>
  <c r="AL195" i="18"/>
  <c r="AL194" i="18" s="1"/>
  <c r="D288" i="20"/>
  <c r="I340" i="20" l="1"/>
  <c r="K340" i="20"/>
  <c r="G339" i="20"/>
  <c r="J340" i="20"/>
  <c r="AM196" i="18"/>
  <c r="AM195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0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1" i="18"/>
  <c r="G320" i="20" l="1"/>
  <c r="K321" i="20"/>
  <c r="I321" i="20"/>
  <c r="J321" i="20"/>
  <c r="M123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D12" i="54"/>
  <c r="I12" i="54" s="1"/>
  <c r="D13" i="54"/>
  <c r="D14" i="54"/>
  <c r="D15" i="54"/>
  <c r="I15" i="54" s="1"/>
  <c r="D16" i="54"/>
  <c r="I16" i="54" s="1"/>
  <c r="D17" i="54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I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3" i="18"/>
  <c r="N134" i="18"/>
  <c r="N135" i="18"/>
  <c r="N136" i="18"/>
  <c r="N137" i="18"/>
  <c r="N138" i="18"/>
  <c r="N139" i="18"/>
  <c r="N140" i="18"/>
  <c r="N132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65" i="18"/>
  <c r="AM120" i="18" l="1"/>
  <c r="AL119" i="18"/>
  <c r="AM119" i="18" l="1"/>
  <c r="AL118" i="18"/>
  <c r="T174" i="18"/>
  <c r="S61" i="18"/>
  <c r="S62" i="18" s="1"/>
  <c r="S63" i="18" s="1"/>
  <c r="R195" i="18"/>
  <c r="R193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N37" i="18"/>
  <c r="Q80" i="18" s="1"/>
  <c r="S71" i="18" l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6" i="18"/>
  <c r="M118" i="18" s="1"/>
  <c r="N118" i="18" l="1"/>
  <c r="AM112" i="18"/>
  <c r="AL111" i="18"/>
  <c r="D108" i="50"/>
  <c r="AL110" i="18" l="1"/>
  <c r="AM111" i="18"/>
  <c r="N54" i="18"/>
  <c r="AL109" i="18" l="1"/>
  <c r="AM110" i="18"/>
  <c r="N117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3" i="18" l="1"/>
  <c r="AL104" i="18"/>
  <c r="AM105" i="18"/>
  <c r="AL193" i="18"/>
  <c r="AM194" i="18"/>
  <c r="AL103" i="18" l="1"/>
  <c r="AM104" i="18"/>
  <c r="AL192" i="18"/>
  <c r="AM193" i="18"/>
  <c r="AL102" i="18" l="1"/>
  <c r="AM103" i="18"/>
  <c r="AL191" i="18"/>
  <c r="AM192" i="18"/>
  <c r="S23" i="18"/>
  <c r="S24" i="18" s="1"/>
  <c r="S25" i="18" s="1"/>
  <c r="S26" i="18" s="1"/>
  <c r="N90" i="18"/>
  <c r="AL101" i="18" l="1"/>
  <c r="AM102" i="18"/>
  <c r="AL190" i="18"/>
  <c r="AM191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90" i="18"/>
  <c r="AL189" i="18"/>
  <c r="D73" i="48"/>
  <c r="N28" i="18"/>
  <c r="M116" i="18" s="1"/>
  <c r="S46" i="18" l="1"/>
  <c r="S47" i="18" s="1"/>
  <c r="S48" i="18" s="1"/>
  <c r="S49" i="18" s="1"/>
  <c r="S50" i="18" s="1"/>
  <c r="S51" i="18" s="1"/>
  <c r="S52" i="18" s="1"/>
  <c r="S53" i="18" s="1"/>
  <c r="S54" i="18" s="1"/>
  <c r="AL99" i="18"/>
  <c r="AM100" i="18"/>
  <c r="N116" i="18"/>
  <c r="AL188" i="18"/>
  <c r="AM189" i="18"/>
  <c r="AM99" i="18" l="1"/>
  <c r="AL98" i="18"/>
  <c r="AL187" i="18"/>
  <c r="AM188" i="18"/>
  <c r="P70" i="18"/>
  <c r="AL97" i="18" l="1"/>
  <c r="AM98" i="18"/>
  <c r="AL186" i="18"/>
  <c r="AM187" i="18"/>
  <c r="AM97" i="18" l="1"/>
  <c r="AL96" i="18"/>
  <c r="AL185" i="18"/>
  <c r="AM186" i="18"/>
  <c r="N23" i="33"/>
  <c r="D23" i="33" s="1"/>
  <c r="AM96" i="18" l="1"/>
  <c r="AL95" i="18"/>
  <c r="AL184" i="18"/>
  <c r="AM185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83" i="18"/>
  <c r="AM184" i="18"/>
  <c r="N21" i="18"/>
  <c r="Q56" i="18" l="1"/>
  <c r="AJ224" i="18"/>
  <c r="AJ225" i="18" s="1"/>
  <c r="R191" i="18"/>
  <c r="AM94" i="18"/>
  <c r="AL93" i="18"/>
  <c r="AL182" i="18"/>
  <c r="AM183" i="18"/>
  <c r="AL92" i="18" l="1"/>
  <c r="AM93" i="18"/>
  <c r="AL181" i="18"/>
  <c r="AM182" i="18"/>
  <c r="S90" i="18"/>
  <c r="S91" i="18" s="1"/>
  <c r="AL91" i="18" l="1"/>
  <c r="AM92" i="18"/>
  <c r="AM181" i="18"/>
  <c r="AL180" i="18"/>
  <c r="AL90" i="18" l="1"/>
  <c r="AM91" i="18"/>
  <c r="AL179" i="18"/>
  <c r="AM180" i="18"/>
  <c r="AM90" i="18" l="1"/>
  <c r="AL89" i="18"/>
  <c r="AM179" i="18"/>
  <c r="AL178" i="18"/>
  <c r="AL88" i="18" l="1"/>
  <c r="AM89" i="18"/>
  <c r="AM178" i="18"/>
  <c r="AL177" i="18"/>
  <c r="B8" i="36"/>
  <c r="AM88" i="18" l="1"/>
  <c r="AL87" i="18"/>
  <c r="AL176" i="18"/>
  <c r="AM177" i="18"/>
  <c r="B10" i="36"/>
  <c r="AL86" i="18" l="1"/>
  <c r="AM87" i="18"/>
  <c r="AL175" i="18"/>
  <c r="AM176" i="18"/>
  <c r="S92" i="18"/>
  <c r="AL85" i="18" l="1"/>
  <c r="AM86" i="18"/>
  <c r="S93" i="18"/>
  <c r="S94" i="18" s="1"/>
  <c r="S95" i="18" s="1"/>
  <c r="S96" i="18" s="1"/>
  <c r="S97" i="18" s="1"/>
  <c r="S98" i="18" s="1"/>
  <c r="AL174" i="18"/>
  <c r="AM175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4" i="18"/>
  <c r="AL173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3" i="18"/>
  <c r="AL172" i="18"/>
  <c r="AC15" i="33"/>
  <c r="AL82" i="18" l="1"/>
  <c r="AM83" i="18"/>
  <c r="AM172" i="18"/>
  <c r="AL171" i="18"/>
  <c r="N16" i="33"/>
  <c r="AL81" i="18" l="1"/>
  <c r="AM82" i="18"/>
  <c r="AM171" i="18"/>
  <c r="AL170" i="18"/>
  <c r="AM170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20" i="18"/>
  <c r="AN220" i="18" s="1"/>
  <c r="AJ223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26" i="18" l="1"/>
  <c r="AJ22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70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63" i="18"/>
  <c r="Q166" i="18" s="1"/>
  <c r="M115" i="18" l="1"/>
  <c r="AJ159" i="18"/>
  <c r="AJ160" i="18" s="1"/>
  <c r="R190" i="18"/>
  <c r="R200" i="18" s="1"/>
  <c r="T255" i="18" s="1"/>
  <c r="V258" i="18" s="1"/>
  <c r="N115" i="18"/>
  <c r="N126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U268" i="18" l="1"/>
  <c r="S179" i="18"/>
  <c r="G304" i="20"/>
  <c r="I305" i="20"/>
  <c r="K305" i="20"/>
  <c r="J305" i="20"/>
  <c r="S129" i="18"/>
  <c r="AL73" i="18"/>
  <c r="AM74" i="18"/>
  <c r="N96" i="18"/>
  <c r="V54" i="18" l="1"/>
  <c r="X54" i="18" s="1"/>
  <c r="V78" i="18"/>
  <c r="W54" i="18"/>
  <c r="V74" i="18"/>
  <c r="V77" i="18"/>
  <c r="V75" i="18"/>
  <c r="V76" i="18"/>
  <c r="U179" i="18"/>
  <c r="V179" i="18" s="1"/>
  <c r="V73" i="18"/>
  <c r="X73" i="18" s="1"/>
  <c r="V53" i="18"/>
  <c r="V52" i="18"/>
  <c r="X52" i="18" s="1"/>
  <c r="V72" i="18"/>
  <c r="V51" i="18"/>
  <c r="W51" i="18" s="1"/>
  <c r="V71" i="18"/>
  <c r="V50" i="18"/>
  <c r="V49" i="18"/>
  <c r="V48" i="18"/>
  <c r="W48" i="18" s="1"/>
  <c r="V70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8" i="18"/>
  <c r="V31" i="18"/>
  <c r="W31" i="18" s="1"/>
  <c r="V68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7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6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8" i="18" l="1"/>
  <c r="X78" i="18"/>
  <c r="W75" i="18"/>
  <c r="X75" i="18"/>
  <c r="W77" i="18"/>
  <c r="X77" i="18"/>
  <c r="W76" i="18"/>
  <c r="X76" i="18"/>
  <c r="W74" i="18"/>
  <c r="X74" i="18"/>
  <c r="W73" i="18"/>
  <c r="W53" i="18"/>
  <c r="X53" i="18"/>
  <c r="W52" i="18"/>
  <c r="X51" i="18"/>
  <c r="X72" i="18"/>
  <c r="W72" i="18"/>
  <c r="W71" i="18"/>
  <c r="X71" i="18"/>
  <c r="X49" i="18"/>
  <c r="W49" i="18"/>
  <c r="W50" i="18"/>
  <c r="X50" i="18"/>
  <c r="X48" i="18"/>
  <c r="W70" i="18"/>
  <c r="X70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8" i="18"/>
  <c r="G302" i="20"/>
  <c r="K303" i="20"/>
  <c r="I303" i="20"/>
  <c r="J303" i="20"/>
  <c r="X31" i="18"/>
  <c r="W68" i="18"/>
  <c r="X68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7" i="18"/>
  <c r="X67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6" i="18"/>
  <c r="X66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7" i="18"/>
  <c r="S176" i="18"/>
  <c r="U176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40" i="18"/>
  <c r="L21" i="18" s="1"/>
  <c r="U177" i="18"/>
  <c r="V177" i="18" s="1"/>
  <c r="W130" i="18"/>
  <c r="X131" i="18"/>
  <c r="S133" i="18"/>
  <c r="V132" i="18"/>
  <c r="N73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E54" i="14" s="1"/>
  <c r="B56" i="14"/>
  <c r="G54" i="14" l="1"/>
  <c r="E53" i="14"/>
  <c r="S137" i="18"/>
  <c r="V136" i="18"/>
  <c r="I297" i="20"/>
  <c r="K297" i="20"/>
  <c r="J297" i="20"/>
  <c r="G296" i="20"/>
  <c r="AL65" i="18"/>
  <c r="AM66" i="18"/>
  <c r="E52" i="14" l="1"/>
  <c r="G53" i="14"/>
  <c r="X136" i="18"/>
  <c r="W136" i="18"/>
  <c r="S138" i="18"/>
  <c r="V137" i="18"/>
  <c r="G295" i="20"/>
  <c r="K296" i="20"/>
  <c r="I296" i="20"/>
  <c r="J296" i="20"/>
  <c r="AL64" i="18"/>
  <c r="AM65" i="18"/>
  <c r="G52" i="14" l="1"/>
  <c r="E51" i="14"/>
  <c r="W137" i="18"/>
  <c r="X137" i="18"/>
  <c r="S139" i="18"/>
  <c r="V138" i="18"/>
  <c r="G294" i="20"/>
  <c r="K295" i="20"/>
  <c r="J295" i="20"/>
  <c r="I295" i="20"/>
  <c r="AM64" i="18"/>
  <c r="AL63" i="18"/>
  <c r="G51" i="14" l="1"/>
  <c r="E50" i="14"/>
  <c r="W138" i="18"/>
  <c r="X138" i="18"/>
  <c r="V139" i="18"/>
  <c r="S140" i="18"/>
  <c r="G293" i="20"/>
  <c r="I294" i="20"/>
  <c r="J294" i="20"/>
  <c r="K294" i="20"/>
  <c r="AL62" i="18"/>
  <c r="AM63" i="18"/>
  <c r="E49" i="14" l="1"/>
  <c r="G50" i="14"/>
  <c r="S141" i="18"/>
  <c r="S142" i="18" s="1"/>
  <c r="V140" i="18"/>
  <c r="W139" i="18"/>
  <c r="X139" i="18"/>
  <c r="G292" i="20"/>
  <c r="K293" i="20"/>
  <c r="J293" i="20"/>
  <c r="I293" i="20"/>
  <c r="AL61" i="18"/>
  <c r="AM62" i="18"/>
  <c r="G49" i="14" l="1"/>
  <c r="E48" i="14"/>
  <c r="V141" i="18"/>
  <c r="X141" i="18" s="1"/>
  <c r="X140" i="18"/>
  <c r="W140" i="18"/>
  <c r="J292" i="20"/>
  <c r="I292" i="20"/>
  <c r="G291" i="20"/>
  <c r="K292" i="20"/>
  <c r="AM61" i="18"/>
  <c r="AL60" i="18"/>
  <c r="E47" i="14" l="1"/>
  <c r="G48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2" i="18"/>
  <c r="W142" i="18" s="1"/>
  <c r="S143" i="18"/>
  <c r="J290" i="20"/>
  <c r="G289" i="20"/>
  <c r="I290" i="20"/>
  <c r="K290" i="20"/>
  <c r="AM59" i="18"/>
  <c r="AL58" i="18"/>
  <c r="G46" i="14" l="1"/>
  <c r="E45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44" i="14" l="1"/>
  <c r="G45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44" i="14" l="1"/>
  <c r="E43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5" i="18"/>
  <c r="X145" i="18"/>
  <c r="G285" i="20"/>
  <c r="J286" i="20"/>
  <c r="I286" i="20"/>
  <c r="K286" i="20"/>
  <c r="AM55" i="18"/>
  <c r="AL54" i="18"/>
  <c r="G42" i="14" l="1"/>
  <c r="E41" i="14"/>
  <c r="V147" i="18"/>
  <c r="G284" i="20"/>
  <c r="K285" i="20"/>
  <c r="J285" i="20"/>
  <c r="I285" i="20"/>
  <c r="AL53" i="18"/>
  <c r="AM54" i="18"/>
  <c r="G41" i="14" l="1"/>
  <c r="E40" i="14"/>
  <c r="W147" i="18"/>
  <c r="X147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55" i="14"/>
  <c r="G55" i="14" s="1"/>
  <c r="F2" i="14"/>
  <c r="E249" i="15"/>
  <c r="D170" i="20"/>
  <c r="G37" i="14" l="1"/>
  <c r="E36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36" i="14" l="1"/>
  <c r="E35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35" i="14" l="1"/>
  <c r="E34" i="14"/>
  <c r="W151" i="18"/>
  <c r="S153" i="18"/>
  <c r="J278" i="20"/>
  <c r="I278" i="20"/>
  <c r="G277" i="20"/>
  <c r="K278" i="20"/>
  <c r="AL46" i="18"/>
  <c r="AM47" i="18"/>
  <c r="E245" i="15"/>
  <c r="G34" i="14" l="1"/>
  <c r="E33" i="14"/>
  <c r="V152" i="18"/>
  <c r="W152" i="18" s="1"/>
  <c r="J277" i="20"/>
  <c r="I277" i="20"/>
  <c r="G276" i="20"/>
  <c r="K277" i="20"/>
  <c r="AM46" i="18"/>
  <c r="AL45" i="18"/>
  <c r="N15" i="33"/>
  <c r="E244" i="15"/>
  <c r="G33" i="14" l="1"/>
  <c r="E32" i="14"/>
  <c r="X152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4" i="18"/>
  <c r="V153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4" i="18"/>
  <c r="X154" i="18" s="1"/>
  <c r="S155" i="18"/>
  <c r="W153" i="18"/>
  <c r="X153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5" i="18"/>
  <c r="W155" i="18" s="1"/>
  <c r="S156" i="18"/>
  <c r="W154" i="18"/>
  <c r="G272" i="20"/>
  <c r="J273" i="20"/>
  <c r="K273" i="20"/>
  <c r="I273" i="20"/>
  <c r="AL41" i="18"/>
  <c r="AM42" i="18"/>
  <c r="G29" i="14" l="1"/>
  <c r="E28" i="14"/>
  <c r="V156" i="18"/>
  <c r="W156" i="18" s="1"/>
  <c r="S157" i="18"/>
  <c r="X155" i="18"/>
  <c r="J272" i="20"/>
  <c r="K272" i="20"/>
  <c r="I272" i="20"/>
  <c r="G271" i="20"/>
  <c r="AM41" i="18"/>
  <c r="AL40" i="18"/>
  <c r="V157" i="18" l="1"/>
  <c r="W157" i="18" s="1"/>
  <c r="S158" i="18"/>
  <c r="X156" i="18"/>
  <c r="E27" i="14"/>
  <c r="G28" i="14"/>
  <c r="G270" i="20"/>
  <c r="I271" i="20"/>
  <c r="J271" i="20"/>
  <c r="K271" i="20"/>
  <c r="AL39" i="18"/>
  <c r="AM40" i="18"/>
  <c r="E243" i="15"/>
  <c r="V158" i="18" l="1"/>
  <c r="W158" i="18" s="1"/>
  <c r="S159" i="18"/>
  <c r="X157" i="18"/>
  <c r="G27" i="14"/>
  <c r="E26" i="14"/>
  <c r="G269" i="20"/>
  <c r="J270" i="20"/>
  <c r="K270" i="20"/>
  <c r="I270" i="20"/>
  <c r="AM39" i="18"/>
  <c r="AL38" i="18"/>
  <c r="E242" i="15"/>
  <c r="X158" i="18" l="1"/>
  <c r="S160" i="18"/>
  <c r="V159" i="18"/>
  <c r="E25" i="14"/>
  <c r="G26" i="14"/>
  <c r="I269" i="20"/>
  <c r="K269" i="20"/>
  <c r="J269" i="20"/>
  <c r="G268" i="20"/>
  <c r="AL37" i="18"/>
  <c r="AM38" i="18"/>
  <c r="J57" i="33"/>
  <c r="J55" i="33"/>
  <c r="J54" i="33"/>
  <c r="W159" i="18" l="1"/>
  <c r="X159" i="18"/>
  <c r="S161" i="18"/>
  <c r="V160" i="18"/>
  <c r="E24" i="14"/>
  <c r="G25" i="14"/>
  <c r="J268" i="20"/>
  <c r="I268" i="20"/>
  <c r="G267" i="20"/>
  <c r="K268" i="20"/>
  <c r="AL36" i="18"/>
  <c r="AM37" i="18"/>
  <c r="L57" i="33"/>
  <c r="E241" i="15"/>
  <c r="S162" i="18" l="1"/>
  <c r="V161" i="18"/>
  <c r="W160" i="18"/>
  <c r="X160" i="18"/>
  <c r="G24" i="14"/>
  <c r="E23" i="14"/>
  <c r="I267" i="20"/>
  <c r="K267" i="20"/>
  <c r="G266" i="20"/>
  <c r="J267" i="20"/>
  <c r="AM36" i="18"/>
  <c r="AL35" i="18"/>
  <c r="D168" i="20"/>
  <c r="V162" i="18" l="1"/>
  <c r="S163" i="18"/>
  <c r="V163" i="18" s="1"/>
  <c r="W161" i="18"/>
  <c r="X161" i="18"/>
  <c r="W162" i="18"/>
  <c r="X162" i="18"/>
  <c r="E22" i="14"/>
  <c r="G23" i="14"/>
  <c r="J266" i="20"/>
  <c r="G265" i="20"/>
  <c r="K266" i="20"/>
  <c r="I266" i="20"/>
  <c r="AL34" i="18"/>
  <c r="AM35" i="18"/>
  <c r="E240" i="15"/>
  <c r="E239" i="15"/>
  <c r="W163" i="18" l="1"/>
  <c r="X163" i="18"/>
  <c r="G22" i="14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662" i="41"/>
  <c r="X662" i="41" s="1"/>
  <c r="V886" i="41"/>
  <c r="X886" i="41" s="1"/>
  <c r="V918" i="41"/>
  <c r="X918" i="41" s="1"/>
  <c r="V982" i="41"/>
  <c r="X982" i="41" s="1"/>
  <c r="V1046" i="41"/>
  <c r="X1046" i="41" s="1"/>
  <c r="V1238" i="41"/>
  <c r="X1238" i="41" s="1"/>
  <c r="V1597" i="41"/>
  <c r="X1597" i="41" s="1"/>
  <c r="V1641" i="41"/>
  <c r="X1641" i="41" s="1"/>
  <c r="V1649" i="41"/>
  <c r="X1649" i="41" s="1"/>
  <c r="V1705" i="41"/>
  <c r="X1705" i="41" s="1"/>
  <c r="V1713" i="41"/>
  <c r="X1713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V694" i="41" s="1"/>
  <c r="X694" i="41" s="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V726" i="41" s="1"/>
  <c r="X726" i="41" s="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V790" i="41" s="1"/>
  <c r="X790" i="41" s="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V950" i="41" s="1"/>
  <c r="X950" i="41" s="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V1142" i="41" s="1"/>
  <c r="X1142" i="41" s="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V1174" i="41" s="1"/>
  <c r="X1174" i="41" s="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V1206" i="41" s="1"/>
  <c r="X1206" i="41" s="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28" i="41"/>
  <c r="P44" i="41"/>
  <c r="P60" i="41"/>
  <c r="P92" i="41"/>
  <c r="P108" i="41"/>
  <c r="P124" i="41"/>
  <c r="P156" i="41"/>
  <c r="P172" i="41"/>
  <c r="P188" i="41"/>
  <c r="P220" i="41"/>
  <c r="P236" i="41"/>
  <c r="P252" i="41"/>
  <c r="P284" i="41"/>
  <c r="P300" i="41"/>
  <c r="P316" i="41"/>
  <c r="P348" i="41"/>
  <c r="P364" i="41"/>
  <c r="P380" i="41"/>
  <c r="P413" i="41"/>
  <c r="P509" i="41"/>
  <c r="P541" i="41"/>
  <c r="P557" i="41"/>
  <c r="P621" i="41"/>
  <c r="P733" i="41"/>
  <c r="P749" i="41"/>
  <c r="P765" i="41"/>
  <c r="P813" i="41"/>
  <c r="P925" i="41"/>
  <c r="P941" i="41"/>
  <c r="P989" i="41"/>
  <c r="P1001" i="41"/>
  <c r="P1009" i="41"/>
  <c r="P1065" i="41"/>
  <c r="P1073" i="41"/>
  <c r="P1089" i="41"/>
  <c r="P1097" i="41"/>
  <c r="P1121" i="41"/>
  <c r="P1185" i="41"/>
  <c r="P1190" i="41"/>
  <c r="P1201" i="41"/>
  <c r="P1217" i="41"/>
  <c r="P1265" i="41"/>
  <c r="P1281" i="41"/>
  <c r="P1286" i="41"/>
  <c r="P1313" i="41"/>
  <c r="P1318" i="41"/>
  <c r="P1377" i="41"/>
  <c r="P1393" i="41"/>
  <c r="P1409" i="41"/>
  <c r="P1414" i="41"/>
  <c r="P1473" i="41"/>
  <c r="P1505" i="41"/>
  <c r="P1521" i="41"/>
  <c r="P1585" i="41"/>
  <c r="P1601" i="41"/>
  <c r="P1633" i="41"/>
  <c r="P1670" i="41"/>
  <c r="P1697" i="41"/>
  <c r="P1702" i="41"/>
  <c r="P1729" i="41"/>
  <c r="P1777" i="41"/>
  <c r="P1793" i="41"/>
  <c r="P1798" i="41"/>
  <c r="P1830" i="41"/>
  <c r="P1889" i="41"/>
  <c r="P1905" i="41"/>
  <c r="P1926" i="41"/>
  <c r="P1985" i="41"/>
  <c r="P1990" i="41"/>
  <c r="P2017" i="41"/>
  <c r="P2033" i="41"/>
  <c r="P2086" i="41"/>
  <c r="P2097" i="41"/>
  <c r="P2113" i="41"/>
  <c r="P2145" i="41"/>
  <c r="P2209" i="41"/>
  <c r="P2214" i="41"/>
  <c r="P2241" i="41"/>
  <c r="P2278" i="41"/>
  <c r="P2294" i="41"/>
  <c r="P2326" i="41"/>
  <c r="P2330" i="41"/>
  <c r="P2342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Q15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Q159" i="41" s="1"/>
  <c r="O155" i="41"/>
  <c r="P155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Q351" i="41" s="1"/>
  <c r="O347" i="41"/>
  <c r="P347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M18" i="4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M56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M178" i="41"/>
  <c r="N178" i="41" s="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8" i="41"/>
  <c r="M539" i="41"/>
  <c r="N539" i="41" s="1"/>
  <c r="M540" i="41"/>
  <c r="N540" i="41" s="1"/>
  <c r="M541" i="41"/>
  <c r="N541" i="41" s="1"/>
  <c r="M543" i="41"/>
  <c r="N543" i="41" s="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N576" i="41" s="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M736" i="41"/>
  <c r="M738" i="41"/>
  <c r="N738" i="41" s="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7" i="4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M913" i="41"/>
  <c r="N913" i="41" s="1"/>
  <c r="M914" i="41"/>
  <c r="N914" i="41" s="1"/>
  <c r="M915" i="41"/>
  <c r="M916" i="41"/>
  <c r="N916" i="41" s="1"/>
  <c r="M918" i="41"/>
  <c r="N918" i="41" s="1"/>
  <c r="M919" i="4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8" i="41"/>
  <c r="N938" i="41" s="1"/>
  <c r="M939" i="4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8" i="41"/>
  <c r="N978" i="41" s="1"/>
  <c r="M979" i="4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M1050" i="41"/>
  <c r="M1051" i="41"/>
  <c r="N1051" i="41" s="1"/>
  <c r="M1053" i="41"/>
  <c r="N1053" i="41" s="1"/>
  <c r="M1054" i="41"/>
  <c r="N1054" i="41" s="1"/>
  <c r="M1055" i="41"/>
  <c r="M1056" i="4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N1095" i="41" s="1"/>
  <c r="M1096" i="4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M1136" i="41"/>
  <c r="N1136" i="41" s="1"/>
  <c r="M1138" i="4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M1176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N1226" i="41" s="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N1535" i="41" s="1"/>
  <c r="M1536" i="4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N1634" i="41" s="1"/>
  <c r="M1635" i="41"/>
  <c r="N1635" i="41" s="1"/>
  <c r="M1636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M1678" i="41"/>
  <c r="N1678" i="41" s="1"/>
  <c r="M1679" i="4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M2180" i="41"/>
  <c r="N2180" i="41" s="1"/>
  <c r="M2181" i="41"/>
  <c r="N2181" i="41" s="1"/>
  <c r="M2182" i="41"/>
  <c r="M2183" i="4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N2336" i="41" s="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6" i="41"/>
  <c r="N88" i="41"/>
  <c r="N123" i="41"/>
  <c r="N128" i="41"/>
  <c r="N136" i="41"/>
  <c r="N144" i="41"/>
  <c r="N155" i="41"/>
  <c r="N168" i="41"/>
  <c r="N176" i="41"/>
  <c r="N200" i="41"/>
  <c r="N240" i="41"/>
  <c r="N248" i="41"/>
  <c r="N280" i="41"/>
  <c r="N296" i="41"/>
  <c r="N344" i="41"/>
  <c r="N363" i="41"/>
  <c r="N368" i="41"/>
  <c r="N376" i="41"/>
  <c r="N384" i="41"/>
  <c r="N419" i="41"/>
  <c r="N424" i="41"/>
  <c r="N443" i="41"/>
  <c r="N448" i="41"/>
  <c r="N456" i="41"/>
  <c r="N488" i="41"/>
  <c r="N496" i="41"/>
  <c r="N528" i="41"/>
  <c r="N536" i="41"/>
  <c r="N560" i="41"/>
  <c r="N568" i="41"/>
  <c r="N579" i="41"/>
  <c r="N600" i="41"/>
  <c r="N608" i="41"/>
  <c r="N611" i="41"/>
  <c r="N624" i="41"/>
  <c r="N635" i="41"/>
  <c r="N640" i="41"/>
  <c r="N656" i="41"/>
  <c r="N664" i="41"/>
  <c r="N688" i="41"/>
  <c r="N728" i="41"/>
  <c r="N736" i="41"/>
  <c r="N744" i="41"/>
  <c r="N883" i="41"/>
  <c r="N888" i="41"/>
  <c r="N896" i="41"/>
  <c r="N899" i="41"/>
  <c r="N915" i="41"/>
  <c r="N936" i="41"/>
  <c r="N939" i="41"/>
  <c r="N960" i="41"/>
  <c r="N995" i="41"/>
  <c r="N1000" i="41"/>
  <c r="N1008" i="41"/>
  <c r="N1016" i="41"/>
  <c r="N1040" i="41"/>
  <c r="N1064" i="41"/>
  <c r="N1088" i="41"/>
  <c r="N1096" i="41"/>
  <c r="N1128" i="41"/>
  <c r="N1168" i="41"/>
  <c r="N1176" i="41"/>
  <c r="N1243" i="41"/>
  <c r="N1251" i="41"/>
  <c r="N1315" i="41"/>
  <c r="N1371" i="41"/>
  <c r="N1531" i="41"/>
  <c r="N2179" i="41"/>
  <c r="N2243" i="41"/>
  <c r="N2339" i="41"/>
  <c r="N2387" i="41"/>
  <c r="K2337" i="41"/>
  <c r="N10" i="41"/>
  <c r="N15" i="41"/>
  <c r="N18" i="41"/>
  <c r="N31" i="41"/>
  <c r="N34" i="41"/>
  <c r="N39" i="41"/>
  <c r="N55" i="41"/>
  <c r="N63" i="41"/>
  <c r="N64" i="41"/>
  <c r="N66" i="41"/>
  <c r="N79" i="41"/>
  <c r="N95" i="41"/>
  <c r="N103" i="41"/>
  <c r="N104" i="41"/>
  <c r="N114" i="41"/>
  <c r="N119" i="41"/>
  <c r="N135" i="41"/>
  <c r="N143" i="41"/>
  <c r="N151" i="41"/>
  <c r="N154" i="41"/>
  <c r="N159" i="41"/>
  <c r="N175" i="41"/>
  <c r="N183" i="41"/>
  <c r="N184" i="41"/>
  <c r="N191" i="41"/>
  <c r="N194" i="41"/>
  <c r="N199" i="41"/>
  <c r="N210" i="41"/>
  <c r="N215" i="41"/>
  <c r="N218" i="41"/>
  <c r="N224" i="41"/>
  <c r="N231" i="41"/>
  <c r="N234" i="41"/>
  <c r="N239" i="41"/>
  <c r="N250" i="41"/>
  <c r="N263" i="41"/>
  <c r="N264" i="41"/>
  <c r="N271" i="41"/>
  <c r="N274" i="41"/>
  <c r="N279" i="41"/>
  <c r="N288" i="41"/>
  <c r="N306" i="41"/>
  <c r="N311" i="41"/>
  <c r="N320" i="41"/>
  <c r="N328" i="41"/>
  <c r="N330" i="41"/>
  <c r="N335" i="41"/>
  <c r="N346" i="41"/>
  <c r="N351" i="41"/>
  <c r="N354" i="41"/>
  <c r="N359" i="41"/>
  <c r="N360" i="41"/>
  <c r="N370" i="41"/>
  <c r="N383" i="41"/>
  <c r="N391" i="41"/>
  <c r="N393" i="41"/>
  <c r="N409" i="41"/>
  <c r="N410" i="41"/>
  <c r="N423" i="41"/>
  <c r="N426" i="41"/>
  <c r="N431" i="41"/>
  <c r="N439" i="41"/>
  <c r="N440" i="41"/>
  <c r="N455" i="41"/>
  <c r="N469" i="41"/>
  <c r="N471" i="41"/>
  <c r="N479" i="41"/>
  <c r="N480" i="41"/>
  <c r="N489" i="41"/>
  <c r="N506" i="41"/>
  <c r="N511" i="41"/>
  <c r="N519" i="41"/>
  <c r="N520" i="41"/>
  <c r="N535" i="41"/>
  <c r="N538" i="41"/>
  <c r="N544" i="41"/>
  <c r="N559" i="41"/>
  <c r="N570" i="41"/>
  <c r="N575" i="41"/>
  <c r="N583" i="41"/>
  <c r="N584" i="41"/>
  <c r="N591" i="41"/>
  <c r="N615" i="41"/>
  <c r="N618" i="41"/>
  <c r="N631" i="41"/>
  <c r="N641" i="41"/>
  <c r="N655" i="41"/>
  <c r="N658" i="41"/>
  <c r="N663" i="41"/>
  <c r="N679" i="41"/>
  <c r="N690" i="41"/>
  <c r="N696" i="41"/>
  <c r="N698" i="41"/>
  <c r="N703" i="41"/>
  <c r="N714" i="41"/>
  <c r="N735" i="41"/>
  <c r="N743" i="41"/>
  <c r="N746" i="41"/>
  <c r="N754" i="41"/>
  <c r="N775" i="41"/>
  <c r="N783" i="41"/>
  <c r="N784" i="41"/>
  <c r="N791" i="41"/>
  <c r="N794" i="41"/>
  <c r="N800" i="41"/>
  <c r="N823" i="41"/>
  <c r="N831" i="41"/>
  <c r="N840" i="41"/>
  <c r="N848" i="41"/>
  <c r="N850" i="41"/>
  <c r="N866" i="41"/>
  <c r="N871" i="41"/>
  <c r="N879" i="41"/>
  <c r="N880" i="41"/>
  <c r="N895" i="41"/>
  <c r="N898" i="41"/>
  <c r="N903" i="41"/>
  <c r="N905" i="41"/>
  <c r="N911" i="41"/>
  <c r="N919" i="41"/>
  <c r="N928" i="41"/>
  <c r="N935" i="41"/>
  <c r="N946" i="41"/>
  <c r="N951" i="41"/>
  <c r="N959" i="41"/>
  <c r="N968" i="41"/>
  <c r="N975" i="41"/>
  <c r="N976" i="41"/>
  <c r="N979" i="41"/>
  <c r="N994" i="41"/>
  <c r="N999" i="41"/>
  <c r="N1013" i="41"/>
  <c r="N1014" i="41"/>
  <c r="N1023" i="41"/>
  <c r="N1031" i="41"/>
  <c r="N1049" i="41"/>
  <c r="N1050" i="41"/>
  <c r="N1055" i="41"/>
  <c r="N1056" i="41"/>
  <c r="N1063" i="41"/>
  <c r="N1073" i="41"/>
  <c r="N1074" i="41"/>
  <c r="N1079" i="41"/>
  <c r="N1080" i="41"/>
  <c r="N1090" i="41"/>
  <c r="N1103" i="41"/>
  <c r="N1104" i="41"/>
  <c r="N1113" i="41"/>
  <c r="N1114" i="41"/>
  <c r="N1119" i="41"/>
  <c r="N1135" i="41"/>
  <c r="N1138" i="41"/>
  <c r="N1143" i="41"/>
  <c r="N1151" i="41"/>
  <c r="N1154" i="41"/>
  <c r="N1175" i="41"/>
  <c r="N1178" i="41"/>
  <c r="N1183" i="41"/>
  <c r="N1184" i="41"/>
  <c r="N1191" i="41"/>
  <c r="N1215" i="41"/>
  <c r="N1216" i="41"/>
  <c r="N1223" i="41"/>
  <c r="N1224" i="41"/>
  <c r="N1228" i="41"/>
  <c r="N1231" i="41"/>
  <c r="N1240" i="41"/>
  <c r="N1248" i="41"/>
  <c r="N1250" i="41"/>
  <c r="N1255" i="41"/>
  <c r="N1263" i="41"/>
  <c r="N1264" i="41"/>
  <c r="N1271" i="41"/>
  <c r="N1280" i="41"/>
  <c r="N1295" i="41"/>
  <c r="N1296" i="41"/>
  <c r="N1298" i="41"/>
  <c r="N1303" i="41"/>
  <c r="N1311" i="41"/>
  <c r="N1319" i="41"/>
  <c r="N1320" i="41"/>
  <c r="N1328" i="41"/>
  <c r="N1330" i="41"/>
  <c r="N1335" i="41"/>
  <c r="N1338" i="41"/>
  <c r="N1344" i="41"/>
  <c r="N1346" i="41"/>
  <c r="N1351" i="41"/>
  <c r="N1360" i="41"/>
  <c r="N1375" i="41"/>
  <c r="N1376" i="41"/>
  <c r="N1378" i="41"/>
  <c r="N1383" i="41"/>
  <c r="N1384" i="41"/>
  <c r="N1386" i="41"/>
  <c r="N1391" i="41"/>
  <c r="N1394" i="41"/>
  <c r="N1400" i="41"/>
  <c r="N1408" i="41"/>
  <c r="N1410" i="41"/>
  <c r="N1415" i="41"/>
  <c r="N1418" i="41"/>
  <c r="N1423" i="41"/>
  <c r="N1424" i="41"/>
  <c r="N1426" i="41"/>
  <c r="N1431" i="41"/>
  <c r="N1439" i="41"/>
  <c r="N1444" i="41"/>
  <c r="N1448" i="41"/>
  <c r="N1455" i="41"/>
  <c r="N1458" i="41"/>
  <c r="N1463" i="41"/>
  <c r="N1471" i="41"/>
  <c r="N1479" i="41"/>
  <c r="N1480" i="41"/>
  <c r="N1488" i="41"/>
  <c r="N1490" i="41"/>
  <c r="N1495" i="41"/>
  <c r="N1496" i="41"/>
  <c r="N1504" i="41"/>
  <c r="N1514" i="41"/>
  <c r="N1519" i="41"/>
  <c r="N1528" i="41"/>
  <c r="N1536" i="41"/>
  <c r="N1543" i="41"/>
  <c r="N1544" i="41"/>
  <c r="N1548" i="41"/>
  <c r="N1551" i="41"/>
  <c r="N1561" i="41"/>
  <c r="N1575" i="41"/>
  <c r="N1576" i="41"/>
  <c r="N1583" i="41"/>
  <c r="N1584" i="41"/>
  <c r="N1599" i="41"/>
  <c r="N1600" i="41"/>
  <c r="N1616" i="41"/>
  <c r="N1623" i="41"/>
  <c r="N1624" i="41"/>
  <c r="N1631" i="41"/>
  <c r="N1636" i="41"/>
  <c r="N1639" i="41"/>
  <c r="N1640" i="41"/>
  <c r="N1655" i="41"/>
  <c r="N1656" i="41"/>
  <c r="N1664" i="41"/>
  <c r="N1671" i="41"/>
  <c r="N1679" i="41"/>
  <c r="N1688" i="41"/>
  <c r="N1703" i="41"/>
  <c r="N1713" i="41"/>
  <c r="N1720" i="41"/>
  <c r="N1735" i="41"/>
  <c r="N1744" i="41"/>
  <c r="N1751" i="41"/>
  <c r="N1768" i="41"/>
  <c r="N1776" i="41"/>
  <c r="N1783" i="41"/>
  <c r="N1793" i="41"/>
  <c r="N1799" i="41"/>
  <c r="N1800" i="41"/>
  <c r="N1808" i="41"/>
  <c r="N1839" i="41"/>
  <c r="N1848" i="41"/>
  <c r="N1849" i="41"/>
  <c r="N1855" i="41"/>
  <c r="N1856" i="41"/>
  <c r="N1863" i="41"/>
  <c r="N1864" i="41"/>
  <c r="N1866" i="41"/>
  <c r="N1871" i="41"/>
  <c r="N1879" i="41"/>
  <c r="N1888" i="41"/>
  <c r="N1895" i="41"/>
  <c r="N1903" i="41"/>
  <c r="N1904" i="41"/>
  <c r="N1911" i="41"/>
  <c r="N1914" i="41"/>
  <c r="N1919" i="41"/>
  <c r="N1920" i="41"/>
  <c r="N1943" i="41"/>
  <c r="N1951" i="41"/>
  <c r="N1959" i="41"/>
  <c r="N1960" i="41"/>
  <c r="N1968" i="41"/>
  <c r="N1970" i="41"/>
  <c r="N1978" i="41"/>
  <c r="N1984" i="41"/>
  <c r="N1999" i="41"/>
  <c r="N2008" i="41"/>
  <c r="N2015" i="41"/>
  <c r="N2016" i="41"/>
  <c r="N2023" i="41"/>
  <c r="N2024" i="41"/>
  <c r="N2033" i="41"/>
  <c r="N2034" i="41"/>
  <c r="N2048" i="41"/>
  <c r="N2050" i="41"/>
  <c r="N2055" i="41"/>
  <c r="N2056" i="41"/>
  <c r="N2063" i="41"/>
  <c r="N2064" i="41"/>
  <c r="N2071" i="41"/>
  <c r="N2080" i="41"/>
  <c r="N2095" i="41"/>
  <c r="N2103" i="41"/>
  <c r="N2104" i="41"/>
  <c r="N2119" i="41"/>
  <c r="N2120" i="41"/>
  <c r="N2128" i="41"/>
  <c r="N2130" i="41"/>
  <c r="N2135" i="41"/>
  <c r="N2143" i="41"/>
  <c r="N2146" i="41"/>
  <c r="N2151" i="41"/>
  <c r="N2159" i="41"/>
  <c r="N2160" i="41"/>
  <c r="N2168" i="41"/>
  <c r="N2175" i="41"/>
  <c r="N2183" i="41"/>
  <c r="N2193" i="41"/>
  <c r="N2194" i="41"/>
  <c r="N2199" i="41"/>
  <c r="N2200" i="41"/>
  <c r="N2208" i="41"/>
  <c r="N2215" i="41"/>
  <c r="N2216" i="41"/>
  <c r="N2231" i="41"/>
  <c r="N2233" i="41"/>
  <c r="N2239" i="41"/>
  <c r="N2240" i="41"/>
  <c r="N2255" i="41"/>
  <c r="N2263" i="41"/>
  <c r="N2266" i="41"/>
  <c r="N2271" i="41"/>
  <c r="N2279" i="41"/>
  <c r="N2288" i="41"/>
  <c r="N2295" i="41"/>
  <c r="N2303" i="41"/>
  <c r="N2304" i="41"/>
  <c r="N2311" i="41"/>
  <c r="N2328" i="41"/>
  <c r="N2330" i="41"/>
  <c r="N2335" i="41"/>
  <c r="N2343" i="41"/>
  <c r="N2344" i="41"/>
  <c r="N2354" i="41"/>
  <c r="N2360" i="41"/>
  <c r="N2364" i="41"/>
  <c r="N2368" i="41"/>
  <c r="N2376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L37" i="41" s="1"/>
  <c r="J42" i="41"/>
  <c r="M42" i="41" s="1"/>
  <c r="K42" i="41"/>
  <c r="L42" i="41" s="1"/>
  <c r="J47" i="41"/>
  <c r="M47" i="41" s="1"/>
  <c r="K47" i="41"/>
  <c r="J52" i="41"/>
  <c r="M52" i="41" s="1"/>
  <c r="K52" i="41"/>
  <c r="L52" i="41" s="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L77" i="41" s="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L117" i="41"/>
  <c r="J122" i="41"/>
  <c r="M122" i="41" s="1"/>
  <c r="K122" i="41"/>
  <c r="J127" i="41"/>
  <c r="M127" i="41" s="1"/>
  <c r="K127" i="41"/>
  <c r="J132" i="41"/>
  <c r="M132" i="41" s="1"/>
  <c r="K132" i="41"/>
  <c r="L132" i="41" s="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L152" i="41" s="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N172" i="41" s="1"/>
  <c r="K172" i="41"/>
  <c r="L172" i="41" s="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L212" i="41" s="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 s="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L432" i="41" s="1"/>
  <c r="N432" i="41" s="1"/>
  <c r="J437" i="41"/>
  <c r="M437" i="41" s="1"/>
  <c r="K437" i="41"/>
  <c r="L437" i="41"/>
  <c r="J442" i="41"/>
  <c r="M442" i="41" s="1"/>
  <c r="K442" i="41"/>
  <c r="J447" i="41"/>
  <c r="M447" i="41" s="1"/>
  <c r="K447" i="41"/>
  <c r="J452" i="41"/>
  <c r="M452" i="41" s="1"/>
  <c r="K452" i="41"/>
  <c r="L452" i="41" s="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N492" i="41" s="1"/>
  <c r="K492" i="41"/>
  <c r="L492" i="41" s="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L532" i="41" s="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J577" i="4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L677" i="41" s="1"/>
  <c r="J682" i="41"/>
  <c r="M682" i="41" s="1"/>
  <c r="K682" i="41"/>
  <c r="J687" i="41"/>
  <c r="M687" i="41" s="1"/>
  <c r="K687" i="41"/>
  <c r="J692" i="41"/>
  <c r="M692" i="41" s="1"/>
  <c r="K692" i="41"/>
  <c r="L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L712" i="41" s="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L732" i="41" s="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L752" i="41" s="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L772" i="41" s="1"/>
  <c r="J777" i="4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L877" i="41" s="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L992" i="41" s="1"/>
  <c r="N992" i="41" s="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L1012" i="41" s="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L1032" i="41" s="1"/>
  <c r="N1032" i="41" s="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L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L1072" i="41" s="1"/>
  <c r="J1077" i="41"/>
  <c r="M1077" i="41" s="1"/>
  <c r="K1077" i="41"/>
  <c r="J1082" i="41"/>
  <c r="M1082" i="41" s="1"/>
  <c r="K1082" i="41"/>
  <c r="J1087" i="41"/>
  <c r="M1087" i="41" s="1"/>
  <c r="K1087" i="41"/>
  <c r="L1087" i="41" s="1"/>
  <c r="N1087" i="41" s="1"/>
  <c r="J1092" i="41"/>
  <c r="M1092" i="41" s="1"/>
  <c r="K1092" i="41"/>
  <c r="J1097" i="41"/>
  <c r="M1097" i="41" s="1"/>
  <c r="K1097" i="4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J1122" i="41"/>
  <c r="M1122" i="41" s="1"/>
  <c r="K1122" i="41"/>
  <c r="L1122" i="41" s="1"/>
  <c r="N1122" i="41" s="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L1157" i="41"/>
  <c r="J1162" i="41"/>
  <c r="M1162" i="41" s="1"/>
  <c r="K1162" i="41"/>
  <c r="L1162" i="41" s="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L1182" i="41" s="1"/>
  <c r="J1187" i="41"/>
  <c r="M1187" i="41" s="1"/>
  <c r="K1187" i="41"/>
  <c r="J1192" i="41"/>
  <c r="M1192" i="41" s="1"/>
  <c r="K1192" i="41"/>
  <c r="L1192" i="41"/>
  <c r="J1197" i="41"/>
  <c r="M1197" i="41" s="1"/>
  <c r="K1197" i="41"/>
  <c r="L1197" i="41" s="1"/>
  <c r="J1202" i="41"/>
  <c r="M1202" i="41" s="1"/>
  <c r="K1202" i="41"/>
  <c r="J1207" i="41"/>
  <c r="M1207" i="41" s="1"/>
  <c r="K1207" i="41"/>
  <c r="J1212" i="41"/>
  <c r="M1212" i="41" s="1"/>
  <c r="K1212" i="41"/>
  <c r="L1212" i="41"/>
  <c r="N1212" i="41" s="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L1247" i="41"/>
  <c r="N1247" i="41" s="1"/>
  <c r="J1252" i="41"/>
  <c r="M1252" i="41" s="1"/>
  <c r="K1252" i="41"/>
  <c r="L1252" i="41" s="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L1352" i="41" s="1"/>
  <c r="J1357" i="41"/>
  <c r="M1357" i="41" s="1"/>
  <c r="K1357" i="41"/>
  <c r="L1357" i="41" s="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K1402" i="41"/>
  <c r="J1407" i="41"/>
  <c r="M1407" i="41" s="1"/>
  <c r="K1407" i="41"/>
  <c r="L1407" i="41" s="1"/>
  <c r="J1412" i="41"/>
  <c r="M1412" i="41" s="1"/>
  <c r="K1412" i="41"/>
  <c r="L1412" i="41" s="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L1432" i="41" s="1"/>
  <c r="J1437" i="41"/>
  <c r="M1437" i="41" s="1"/>
  <c r="K1437" i="41"/>
  <c r="J1442" i="41"/>
  <c r="M1442" i="41" s="1"/>
  <c r="K1442" i="41"/>
  <c r="L1442" i="41" s="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L1472" i="41" s="1"/>
  <c r="N1472" i="41" s="1"/>
  <c r="J1477" i="41"/>
  <c r="M1477" i="41" s="1"/>
  <c r="K1477" i="41"/>
  <c r="L1477" i="41" s="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L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K1532" i="41"/>
  <c r="L1532" i="41" s="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L1557" i="41" s="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L1592" i="41" s="1"/>
  <c r="N1592" i="41" s="1"/>
  <c r="J1597" i="41"/>
  <c r="M1597" i="41" s="1"/>
  <c r="K1597" i="41"/>
  <c r="L1597" i="41" s="1"/>
  <c r="J1602" i="41"/>
  <c r="M1602" i="41" s="1"/>
  <c r="K1602" i="41"/>
  <c r="J1607" i="41"/>
  <c r="M1607" i="41" s="1"/>
  <c r="K1607" i="41"/>
  <c r="J1612" i="41"/>
  <c r="M1612" i="41" s="1"/>
  <c r="K1612" i="41"/>
  <c r="L1612" i="41" s="1"/>
  <c r="J1617" i="41"/>
  <c r="M1617" i="41" s="1"/>
  <c r="K1617" i="41"/>
  <c r="L1617" i="41" s="1"/>
  <c r="N1617" i="41" s="1"/>
  <c r="J1622" i="41"/>
  <c r="M1622" i="41" s="1"/>
  <c r="K1622" i="41"/>
  <c r="J1627" i="41"/>
  <c r="M1627" i="41" s="1"/>
  <c r="K1627" i="41"/>
  <c r="J1632" i="41"/>
  <c r="M1632" i="41" s="1"/>
  <c r="K1632" i="41"/>
  <c r="L1632" i="41" s="1"/>
  <c r="J1637" i="41"/>
  <c r="M1637" i="41" s="1"/>
  <c r="K1637" i="41"/>
  <c r="L1637" i="41" s="1"/>
  <c r="J1642" i="41"/>
  <c r="M1642" i="41" s="1"/>
  <c r="K1642" i="4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K1677" i="41"/>
  <c r="J1682" i="41"/>
  <c r="M1682" i="41" s="1"/>
  <c r="K1682" i="41"/>
  <c r="J1687" i="41"/>
  <c r="M1687" i="41" s="1"/>
  <c r="K1687" i="41"/>
  <c r="J1692" i="41"/>
  <c r="M1692" i="41" s="1"/>
  <c r="K1692" i="41"/>
  <c r="L1692" i="41" s="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L1722" i="41" s="1"/>
  <c r="J1727" i="41"/>
  <c r="M1727" i="41" s="1"/>
  <c r="K1727" i="41"/>
  <c r="L1727" i="41" s="1"/>
  <c r="N1727" i="41" s="1"/>
  <c r="J1732" i="41"/>
  <c r="M1732" i="41" s="1"/>
  <c r="K1732" i="41"/>
  <c r="J1737" i="41"/>
  <c r="M1737" i="41" s="1"/>
  <c r="K1737" i="4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M1757" i="41" s="1"/>
  <c r="K1757" i="41"/>
  <c r="L1757" i="41" s="1"/>
  <c r="J1762" i="41"/>
  <c r="M1762" i="41" s="1"/>
  <c r="K1762" i="41"/>
  <c r="L1762" i="41" s="1"/>
  <c r="N1762" i="41" s="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L1792" i="41" s="1"/>
  <c r="N1792" i="41" s="1"/>
  <c r="J1797" i="41"/>
  <c r="M1797" i="41" s="1"/>
  <c r="K1797" i="41"/>
  <c r="L1797" i="41"/>
  <c r="J1802" i="41"/>
  <c r="M1802" i="41" s="1"/>
  <c r="K1802" i="41"/>
  <c r="J1807" i="41"/>
  <c r="M1807" i="41" s="1"/>
  <c r="K1807" i="41"/>
  <c r="J1812" i="41"/>
  <c r="M1812" i="41" s="1"/>
  <c r="K1812" i="41"/>
  <c r="L1812" i="41" s="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L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L1912" i="41" s="1"/>
  <c r="J1917" i="41"/>
  <c r="K1917" i="41"/>
  <c r="L1917" i="41" s="1"/>
  <c r="J1922" i="41"/>
  <c r="M1922" i="41" s="1"/>
  <c r="K1922" i="41"/>
  <c r="L1922" i="41"/>
  <c r="J1927" i="41"/>
  <c r="M1927" i="41" s="1"/>
  <c r="K1927" i="41"/>
  <c r="J1932" i="41"/>
  <c r="M1932" i="41" s="1"/>
  <c r="K1932" i="41"/>
  <c r="J1937" i="4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M1957" i="41" s="1"/>
  <c r="N1957" i="41" s="1"/>
  <c r="K1957" i="41"/>
  <c r="L1957" i="41" s="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L1992" i="41"/>
  <c r="N1992" i="41" s="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L2012" i="41" s="1"/>
  <c r="J2017" i="41"/>
  <c r="M2017" i="41" s="1"/>
  <c r="K2017" i="41"/>
  <c r="J2022" i="41"/>
  <c r="K2022" i="4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K2037" i="41"/>
  <c r="J2042" i="41"/>
  <c r="M2042" i="41" s="1"/>
  <c r="K2042" i="4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K2077" i="41"/>
  <c r="J2082" i="41"/>
  <c r="M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L2152" i="41" s="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J2172" i="41"/>
  <c r="M2172" i="41" s="1"/>
  <c r="K2172" i="41"/>
  <c r="J2177" i="41"/>
  <c r="M2177" i="41" s="1"/>
  <c r="K2177" i="41"/>
  <c r="J2182" i="41"/>
  <c r="K2182" i="41"/>
  <c r="J2187" i="41"/>
  <c r="M2187" i="41" s="1"/>
  <c r="K2187" i="41"/>
  <c r="J2192" i="41"/>
  <c r="M2192" i="41" s="1"/>
  <c r="K2192" i="41"/>
  <c r="L2192" i="41" s="1"/>
  <c r="N2192" i="41" s="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L2212" i="41" s="1"/>
  <c r="J2217" i="41"/>
  <c r="M2217" i="41" s="1"/>
  <c r="K2217" i="41"/>
  <c r="L2217" i="41" s="1"/>
  <c r="J2222" i="41"/>
  <c r="M2222" i="41" s="1"/>
  <c r="K2222" i="41"/>
  <c r="L2222" i="41" s="1"/>
  <c r="J2227" i="41"/>
  <c r="M2227" i="41" s="1"/>
  <c r="K2227" i="41"/>
  <c r="J2232" i="41"/>
  <c r="M2232" i="41" s="1"/>
  <c r="K2232" i="41"/>
  <c r="L2232" i="41" s="1"/>
  <c r="J2237" i="41"/>
  <c r="M2237" i="41" s="1"/>
  <c r="K2237" i="41"/>
  <c r="J2242" i="41"/>
  <c r="M2242" i="41" s="1"/>
  <c r="K2242" i="41"/>
  <c r="L2242" i="41" s="1"/>
  <c r="N2242" i="41" s="1"/>
  <c r="J2247" i="41"/>
  <c r="M2247" i="41" s="1"/>
  <c r="K2247" i="41"/>
  <c r="L2247" i="41" s="1"/>
  <c r="J2252" i="41"/>
  <c r="M2252" i="41" s="1"/>
  <c r="K2252" i="41"/>
  <c r="L2252" i="41" s="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L2272" i="41" s="1"/>
  <c r="J2277" i="41"/>
  <c r="K2277" i="41"/>
  <c r="L2277" i="41" s="1"/>
  <c r="J2282" i="41"/>
  <c r="M2282" i="41" s="1"/>
  <c r="K2282" i="41"/>
  <c r="L2282" i="41" s="1"/>
  <c r="N2282" i="41" s="1"/>
  <c r="J2287" i="41"/>
  <c r="M2287" i="41" s="1"/>
  <c r="K2287" i="41"/>
  <c r="L2287" i="41" s="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K2317" i="41"/>
  <c r="J2322" i="41"/>
  <c r="M2322" i="41" s="1"/>
  <c r="K2322" i="41"/>
  <c r="L2322" i="41" s="1"/>
  <c r="J2327" i="41"/>
  <c r="M2327" i="41" s="1"/>
  <c r="K2327" i="41"/>
  <c r="J2332" i="41"/>
  <c r="M2332" i="41" s="1"/>
  <c r="K2332" i="41"/>
  <c r="L2332" i="41" s="1"/>
  <c r="N2332" i="41" s="1"/>
  <c r="J2337" i="41"/>
  <c r="J2342" i="41"/>
  <c r="M2342" i="41" s="1"/>
  <c r="K2342" i="41"/>
  <c r="L2342" i="41" s="1"/>
  <c r="J2347" i="41"/>
  <c r="M2347" i="41" s="1"/>
  <c r="K2347" i="41"/>
  <c r="J2352" i="41"/>
  <c r="M2352" i="41" s="1"/>
  <c r="K2352" i="41"/>
  <c r="L2352" i="41" s="1"/>
  <c r="J2357" i="41"/>
  <c r="M2357" i="41" s="1"/>
  <c r="K2357" i="41"/>
  <c r="L2357" i="41" s="1"/>
  <c r="J2362" i="41"/>
  <c r="M2362" i="41" s="1"/>
  <c r="K2362" i="41"/>
  <c r="L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L547" i="41" s="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L707" i="41" s="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L1227" i="41" s="1"/>
  <c r="I1232" i="41"/>
  <c r="I1237" i="41"/>
  <c r="I1242" i="41"/>
  <c r="I1247" i="41"/>
  <c r="I1252" i="41"/>
  <c r="I1257" i="41"/>
  <c r="I1262" i="41"/>
  <c r="L1262" i="41" s="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L1602" i="41" s="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L2062" i="41" s="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L1467" i="41" l="1"/>
  <c r="N1467" i="41" s="1"/>
  <c r="N1887" i="41"/>
  <c r="N1757" i="41"/>
  <c r="N812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N982" i="41"/>
  <c r="L587" i="41"/>
  <c r="N587" i="41" s="1"/>
  <c r="L2377" i="41"/>
  <c r="N2377" i="41" s="1"/>
  <c r="N1492" i="4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L1667" i="41"/>
  <c r="N1557" i="41"/>
  <c r="L1502" i="41"/>
  <c r="N1502" i="41" s="1"/>
  <c r="L1427" i="41"/>
  <c r="L1137" i="41"/>
  <c r="N1137" i="41" s="1"/>
  <c r="N862" i="41"/>
  <c r="L747" i="41"/>
  <c r="L412" i="41"/>
  <c r="L17" i="41"/>
  <c r="N17" i="41" s="1"/>
  <c r="N2312" i="41"/>
  <c r="L2202" i="41"/>
  <c r="N2202" i="41" s="1"/>
  <c r="L2167" i="41"/>
  <c r="N2167" i="41" s="1"/>
  <c r="L2092" i="41"/>
  <c r="L2057" i="41"/>
  <c r="L1892" i="41"/>
  <c r="N1892" i="41" s="1"/>
  <c r="N1877" i="41"/>
  <c r="L1822" i="41"/>
  <c r="N1822" i="41" s="1"/>
  <c r="L1802" i="41"/>
  <c r="L1677" i="41"/>
  <c r="N1677" i="41" s="1"/>
  <c r="L1622" i="41"/>
  <c r="N1512" i="41"/>
  <c r="L1457" i="41"/>
  <c r="L1367" i="41"/>
  <c r="N1367" i="41" s="1"/>
  <c r="L1292" i="41"/>
  <c r="N1292" i="41" s="1"/>
  <c r="L1257" i="41"/>
  <c r="N1257" i="41" s="1"/>
  <c r="L1222" i="41"/>
  <c r="L2347" i="41"/>
  <c r="N2347" i="41" s="1"/>
  <c r="L2292" i="41"/>
  <c r="L2237" i="41"/>
  <c r="L2182" i="41"/>
  <c r="L2072" i="41"/>
  <c r="N2072" i="41" s="1"/>
  <c r="L2037" i="41"/>
  <c r="N2037" i="41" s="1"/>
  <c r="N2002" i="41"/>
  <c r="L1982" i="41"/>
  <c r="L1962" i="41"/>
  <c r="N1962" i="41" s="1"/>
  <c r="L1907" i="41"/>
  <c r="N1907" i="41" s="1"/>
  <c r="L1872" i="41"/>
  <c r="N1872" i="41" s="1"/>
  <c r="L1837" i="41"/>
  <c r="N1837" i="41" s="1"/>
  <c r="N1802" i="41"/>
  <c r="L1782" i="41"/>
  <c r="N1622" i="41"/>
  <c r="N1532" i="41"/>
  <c r="L1492" i="41"/>
  <c r="N1477" i="41"/>
  <c r="L1437" i="41"/>
  <c r="N1437" i="41" s="1"/>
  <c r="N1422" i="41"/>
  <c r="L1402" i="41"/>
  <c r="N1402" i="41" s="1"/>
  <c r="L1382" i="41"/>
  <c r="L1347" i="41"/>
  <c r="L1327" i="41"/>
  <c r="N1327" i="41" s="1"/>
  <c r="L1272" i="41"/>
  <c r="N1272" i="41" s="1"/>
  <c r="L1237" i="41"/>
  <c r="N1237" i="41" s="1"/>
  <c r="N1222" i="41"/>
  <c r="L1202" i="41"/>
  <c r="L1147" i="41"/>
  <c r="L1127" i="41"/>
  <c r="N1127" i="41" s="1"/>
  <c r="L1092" i="41"/>
  <c r="L1037" i="41"/>
  <c r="N1037" i="41" s="1"/>
  <c r="L982" i="41"/>
  <c r="L962" i="41"/>
  <c r="L942" i="41"/>
  <c r="L907" i="41"/>
  <c r="N907" i="41" s="1"/>
  <c r="L832" i="41"/>
  <c r="N832" i="41" s="1"/>
  <c r="L812" i="41"/>
  <c r="L792" i="41"/>
  <c r="N792" i="41" s="1"/>
  <c r="L737" i="41"/>
  <c r="N737" i="41" s="1"/>
  <c r="L717" i="4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L2337" i="41"/>
  <c r="N2382" i="41"/>
  <c r="L2307" i="41"/>
  <c r="N2307" i="41" s="1"/>
  <c r="N2287" i="41"/>
  <c r="N2252" i="41"/>
  <c r="N2217" i="41"/>
  <c r="N2197" i="41"/>
  <c r="L2142" i="41"/>
  <c r="N2142" i="41" s="1"/>
  <c r="L2067" i="41"/>
  <c r="N1942" i="41"/>
  <c r="L1777" i="41"/>
  <c r="N1777" i="41" s="1"/>
  <c r="L1542" i="41"/>
  <c r="N1417" i="41"/>
  <c r="L1342" i="41"/>
  <c r="N1322" i="41"/>
  <c r="L1267" i="41"/>
  <c r="N1252" i="41"/>
  <c r="N1232" i="41"/>
  <c r="N1182" i="41"/>
  <c r="N1162" i="41"/>
  <c r="L1142" i="41"/>
  <c r="N1142" i="41" s="1"/>
  <c r="L977" i="41"/>
  <c r="L902" i="41"/>
  <c r="N882" i="41"/>
  <c r="N772" i="41"/>
  <c r="N752" i="41"/>
  <c r="N712" i="41"/>
  <c r="N662" i="41"/>
  <c r="N532" i="41"/>
  <c r="L417" i="41"/>
  <c r="L342" i="41"/>
  <c r="L302" i="41"/>
  <c r="N212" i="41"/>
  <c r="L97" i="41"/>
  <c r="N97" i="41" s="1"/>
  <c r="N62" i="41"/>
  <c r="N42" i="41"/>
  <c r="L22" i="41"/>
  <c r="Q415" i="41"/>
  <c r="V1859" i="41"/>
  <c r="X1859" i="41" s="1"/>
  <c r="V1835" i="41"/>
  <c r="X1835" i="41" s="1"/>
  <c r="V1811" i="41"/>
  <c r="X1811" i="41" s="1"/>
  <c r="V1795" i="41"/>
  <c r="X1795" i="41" s="1"/>
  <c r="V1779" i="4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012" i="41"/>
  <c r="L1972" i="41"/>
  <c r="N1972" i="41" s="1"/>
  <c r="N1902" i="41"/>
  <c r="N1812" i="41"/>
  <c r="L1772" i="41"/>
  <c r="N161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L1807" i="41"/>
  <c r="N1807" i="41" s="1"/>
  <c r="L1717" i="41"/>
  <c r="N1717" i="41" s="1"/>
  <c r="L1682" i="41"/>
  <c r="N1682" i="41" s="1"/>
  <c r="L1627" i="41"/>
  <c r="L1607" i="41"/>
  <c r="L1572" i="41"/>
  <c r="L1552" i="41"/>
  <c r="N1552" i="41" s="1"/>
  <c r="L1517" i="41"/>
  <c r="N1482" i="41"/>
  <c r="L1462" i="41"/>
  <c r="N1462" i="41" s="1"/>
  <c r="N1427" i="41"/>
  <c r="L1297" i="41"/>
  <c r="L1172" i="41"/>
  <c r="N1172" i="41" s="1"/>
  <c r="L1117" i="41"/>
  <c r="L1082" i="41"/>
  <c r="L1062" i="41"/>
  <c r="L1027" i="4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L257" i="41"/>
  <c r="N257" i="41" s="1"/>
  <c r="L237" i="41"/>
  <c r="N222" i="41"/>
  <c r="L202" i="41"/>
  <c r="N202" i="41" s="1"/>
  <c r="N2372" i="41"/>
  <c r="N2352" i="41"/>
  <c r="N226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N1827" i="41"/>
  <c r="L1787" i="41"/>
  <c r="L1767" i="41"/>
  <c r="N1767" i="41" s="1"/>
  <c r="L1732" i="41"/>
  <c r="L1662" i="41"/>
  <c r="N1662" i="41" s="1"/>
  <c r="L1642" i="41"/>
  <c r="N1642" i="41" s="1"/>
  <c r="N1627" i="41"/>
  <c r="L1587" i="41"/>
  <c r="N1572" i="41"/>
  <c r="N1517" i="41"/>
  <c r="N1372" i="41"/>
  <c r="L1332" i="41"/>
  <c r="L1277" i="41"/>
  <c r="N1277" i="41" s="1"/>
  <c r="N1262" i="41"/>
  <c r="L1242" i="41"/>
  <c r="N1242" i="41" s="1"/>
  <c r="N1227" i="41"/>
  <c r="L1207" i="41"/>
  <c r="N1207" i="41" s="1"/>
  <c r="L1152" i="41"/>
  <c r="N1152" i="41" s="1"/>
  <c r="L1132" i="4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L352" i="4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N452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N797" i="41"/>
  <c r="L702" i="41"/>
  <c r="N702" i="41" s="1"/>
  <c r="L572" i="41"/>
  <c r="N502" i="41"/>
  <c r="L442" i="41"/>
  <c r="N387" i="41"/>
  <c r="L252" i="41"/>
  <c r="L122" i="41"/>
  <c r="N122" i="41" s="1"/>
  <c r="N12" i="4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L817" i="41"/>
  <c r="N817" i="41" s="1"/>
  <c r="L797" i="41"/>
  <c r="N762" i="41"/>
  <c r="L742" i="41"/>
  <c r="N742" i="41" s="1"/>
  <c r="L722" i="41"/>
  <c r="N722" i="41" s="1"/>
  <c r="N707" i="41"/>
  <c r="N652" i="41"/>
  <c r="L502" i="41"/>
  <c r="L482" i="41"/>
  <c r="L462" i="41"/>
  <c r="L427" i="41"/>
  <c r="N427" i="41" s="1"/>
  <c r="N317" i="41"/>
  <c r="L222" i="41"/>
  <c r="N132" i="41"/>
  <c r="L112" i="41"/>
  <c r="L92" i="41"/>
  <c r="L72" i="41"/>
  <c r="N72" i="41" s="1"/>
  <c r="N22" i="4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2" i="41"/>
  <c r="N1732" i="41"/>
  <c r="N1712" i="41"/>
  <c r="N1707" i="41"/>
  <c r="L1687" i="41"/>
  <c r="N1687" i="41" s="1"/>
  <c r="N1672" i="41"/>
  <c r="N1652" i="41"/>
  <c r="N1632" i="41"/>
  <c r="N1587" i="41"/>
  <c r="L1507" i="41"/>
  <c r="N1507" i="41" s="1"/>
  <c r="L1487" i="41"/>
  <c r="N1487" i="41" s="1"/>
  <c r="N1452" i="41"/>
  <c r="N1432" i="41"/>
  <c r="N1382" i="41"/>
  <c r="N1362" i="41"/>
  <c r="N1352" i="41"/>
  <c r="N1347" i="41"/>
  <c r="L1307" i="41"/>
  <c r="L1287" i="41"/>
  <c r="N1287" i="41" s="1"/>
  <c r="N1282" i="41"/>
  <c r="N1202" i="41"/>
  <c r="N1147" i="41"/>
  <c r="L1107" i="41"/>
  <c r="N1107" i="41" s="1"/>
  <c r="N1102" i="41"/>
  <c r="N1092" i="41"/>
  <c r="N1072" i="41"/>
  <c r="N1067" i="41"/>
  <c r="L1047" i="41"/>
  <c r="N1047" i="41" s="1"/>
  <c r="N1012" i="41"/>
  <c r="N1002" i="41"/>
  <c r="N962" i="41"/>
  <c r="N952" i="41"/>
  <c r="N947" i="41"/>
  <c r="N90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247" i="41"/>
  <c r="N2232" i="41"/>
  <c r="N2067" i="41"/>
  <c r="N2052" i="41"/>
  <c r="N2027" i="41"/>
  <c r="N198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67" i="41"/>
  <c r="N1132" i="41"/>
  <c r="N1112" i="41"/>
  <c r="N1062" i="41"/>
  <c r="N1027" i="41"/>
  <c r="L987" i="41"/>
  <c r="N987" i="41" s="1"/>
  <c r="N942" i="41"/>
  <c r="N877" i="41"/>
  <c r="N787" i="41"/>
  <c r="N732" i="41"/>
  <c r="L667" i="41"/>
  <c r="N667" i="41" s="1"/>
  <c r="N622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37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3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53" i="18"/>
  <c r="AJ158" i="18" s="1"/>
  <c r="E172" i="13"/>
  <c r="G173" i="13"/>
  <c r="D62" i="38"/>
  <c r="AJ162" i="18" l="1"/>
  <c r="J249" i="20"/>
  <c r="I249" i="20"/>
  <c r="K249" i="20"/>
  <c r="G248" i="20"/>
  <c r="F244" i="15"/>
  <c r="D243" i="15"/>
  <c r="AJ161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I21" i="29"/>
  <c r="H21" i="29"/>
  <c r="G21" i="29"/>
  <c r="D21" i="29"/>
  <c r="H20" i="29"/>
  <c r="G20" i="29"/>
  <c r="D20" i="29"/>
  <c r="I20" i="29" s="1"/>
  <c r="I19" i="29"/>
  <c r="H19" i="29"/>
  <c r="G19" i="29"/>
  <c r="D19" i="29"/>
  <c r="H18" i="29"/>
  <c r="G18" i="29"/>
  <c r="D18" i="29"/>
  <c r="I18" i="29" s="1"/>
  <c r="I17" i="29"/>
  <c r="H17" i="29"/>
  <c r="G17" i="29"/>
  <c r="D17" i="29"/>
  <c r="H16" i="29"/>
  <c r="G16" i="29"/>
  <c r="D16" i="29"/>
  <c r="I16" i="29" s="1"/>
  <c r="I15" i="29"/>
  <c r="H15" i="29"/>
  <c r="G15" i="29"/>
  <c r="D15" i="29"/>
  <c r="H14" i="29"/>
  <c r="G14" i="29"/>
  <c r="D14" i="29"/>
  <c r="I14" i="29" s="1"/>
  <c r="I13" i="29"/>
  <c r="H13" i="29"/>
  <c r="G13" i="29"/>
  <c r="D13" i="29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D13" i="24"/>
  <c r="I13" i="24" s="1"/>
  <c r="D14" i="24"/>
  <c r="I14" i="24" s="1"/>
  <c r="D15" i="24"/>
  <c r="D16" i="24"/>
  <c r="D17" i="24"/>
  <c r="I17" i="24" s="1"/>
  <c r="D18" i="24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I12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6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6" i="18" l="1"/>
  <c r="F24" i="18" s="1"/>
  <c r="G113" i="20"/>
  <c r="J114" i="20"/>
  <c r="I114" i="20"/>
  <c r="K114" i="20"/>
  <c r="L77" i="18"/>
  <c r="E33" i="13"/>
  <c r="G34" i="13"/>
  <c r="F108" i="15"/>
  <c r="C20" i="18"/>
  <c r="G20" i="14"/>
  <c r="G21" i="14"/>
  <c r="G112" i="20" l="1"/>
  <c r="K113" i="20"/>
  <c r="J113" i="20"/>
  <c r="I113" i="20"/>
  <c r="L7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<sst xmlns="http://schemas.openxmlformats.org/spreadsheetml/2006/main" count="11600" uniqueCount="4991">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</sst>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25" workbookViewId="0">
      <selection activeCell="E49" sqref="E49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4945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4947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4941</v>
      </c>
      <c r="B4" s="18">
        <v>-960200</v>
      </c>
      <c r="C4" s="18">
        <v>0</v>
      </c>
      <c r="D4" s="113">
        <f t="shared" si="0"/>
        <v>-960200</v>
      </c>
      <c r="E4" s="99" t="s">
        <v>4948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4926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4975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4978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/>
      <c r="E49" s="122"/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109369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4915</v>
      </c>
      <c r="B341" s="18">
        <v>433375</v>
      </c>
      <c r="C341" s="18">
        <v>0</v>
      </c>
      <c r="D341" s="18">
        <f t="shared" si="18"/>
        <v>433375</v>
      </c>
      <c r="E341" s="99" t="s">
        <v>4920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4926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4926</v>
      </c>
      <c r="B343" s="18">
        <v>-300000</v>
      </c>
      <c r="C343" s="18">
        <v>0</v>
      </c>
      <c r="D343" s="18">
        <f t="shared" si="18"/>
        <v>-300000</v>
      </c>
      <c r="E343" s="99" t="s">
        <v>4929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4926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4938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4947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4941</v>
      </c>
      <c r="B347" s="18">
        <v>-960200</v>
      </c>
      <c r="C347" s="18">
        <v>0</v>
      </c>
      <c r="D347" s="18">
        <f t="shared" si="18"/>
        <v>-960200</v>
      </c>
      <c r="E347" s="99" t="s">
        <v>4948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4940</v>
      </c>
      <c r="B193" s="38">
        <v>-25000</v>
      </c>
      <c r="C193" s="11" t="s">
        <v>4950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9"/>
  <sheetViews>
    <sheetView tabSelected="1" topLeftCell="O222" zoomScaleNormal="100" workbookViewId="0">
      <selection activeCell="S205" sqref="S20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4972</v>
      </c>
      <c r="AT12" s="73" t="s">
        <v>4973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4974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3788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>U20*(1+$N$96+$Q$15*S20/36500)</f>
        <v>222.98757479452055</v>
      </c>
      <c r="W20" s="32">
        <f t="shared" ref="W20:W33" si="6">V20*(1+$W$19/100)</f>
        <v>227.44732629041096</v>
      </c>
      <c r="X20" s="32">
        <f t="shared" ref="X20:X33" si="7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-N40</f>
        <v>484844476.18227571</v>
      </c>
      <c r="M21" s="168" t="s">
        <v>4301</v>
      </c>
      <c r="N21" s="113">
        <f t="shared" ref="N21:N28" si="8">O21*P21</f>
        <v>14927891.9</v>
      </c>
      <c r="O21" s="99">
        <v>82429</v>
      </c>
      <c r="P21" s="186">
        <f>P63</f>
        <v>181.1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>U21*(1+$N$96+$Q$15*S21/36500)</f>
        <v>6510.7396931506846</v>
      </c>
      <c r="W21" s="32">
        <f t="shared" si="6"/>
        <v>6640.9544870136988</v>
      </c>
      <c r="X21" s="32">
        <f t="shared" si="7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353</v>
      </c>
      <c r="AM21" s="113">
        <f t="shared" ref="AM21:AM120" si="10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-109369</v>
      </c>
      <c r="M22" s="168" t="s">
        <v>4391</v>
      </c>
      <c r="N22" s="113">
        <f t="shared" si="8"/>
        <v>95634843.300000012</v>
      </c>
      <c r="O22" s="99">
        <v>25521</v>
      </c>
      <c r="P22" s="186">
        <f>P50</f>
        <v>3747.3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>U22*(1+$N$96+$Q$15*S22/36500)</f>
        <v>6106.4044712328778</v>
      </c>
      <c r="W22" s="32">
        <f t="shared" si="6"/>
        <v>6228.5325606575352</v>
      </c>
      <c r="X22" s="32">
        <f t="shared" si="7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352</v>
      </c>
      <c r="AM22" s="113">
        <f t="shared" si="10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8"/>
        <v>1129185.5999999999</v>
      </c>
      <c r="O23" s="99">
        <v>8808</v>
      </c>
      <c r="P23" s="186">
        <f>P52</f>
        <v>128.19999999999999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>U23*(1+$N$96+$Q$15*S23/36500)</f>
        <v>5966.9633753424669</v>
      </c>
      <c r="W23" s="32">
        <f>V23*(1+$W$19/100)</f>
        <v>6086.3026428493167</v>
      </c>
      <c r="X23" s="32">
        <f t="shared" si="7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351</v>
      </c>
      <c r="AM23" s="113">
        <f t="shared" si="10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L76</f>
        <v>443656617.18227571</v>
      </c>
      <c r="G24" s="95">
        <f t="shared" si="0"/>
        <v>-163350271.80033708</v>
      </c>
      <c r="H24" s="11"/>
      <c r="I24" s="96"/>
      <c r="J24" s="96"/>
      <c r="K24" s="215"/>
      <c r="L24" s="117"/>
      <c r="M24" s="215" t="s">
        <v>4410</v>
      </c>
      <c r="N24" s="113">
        <f t="shared" si="8"/>
        <v>99124084.599999994</v>
      </c>
      <c r="O24" s="99">
        <v>154447</v>
      </c>
      <c r="P24" s="186">
        <f>P56</f>
        <v>641.79999999999995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>U24*(1+$N$96+$Q$15*S24/36500)</f>
        <v>214.40462904109592</v>
      </c>
      <c r="W24" s="32">
        <f t="shared" si="6"/>
        <v>218.69272162191783</v>
      </c>
      <c r="X24" s="32">
        <f t="shared" si="7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350</v>
      </c>
      <c r="AM24" s="113">
        <f t="shared" si="10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8"/>
        <v>90953401.700000003</v>
      </c>
      <c r="O25" s="99">
        <v>20491</v>
      </c>
      <c r="P25" s="186">
        <f>P57</f>
        <v>4438.7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>U25*(1+$N$96+$Q$15*S25/36500)</f>
        <v>205.50177753424657</v>
      </c>
      <c r="W25" s="32">
        <f t="shared" si="6"/>
        <v>209.6118130849315</v>
      </c>
      <c r="X25" s="32">
        <f t="shared" si="7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338</v>
      </c>
      <c r="AM25" s="113">
        <f t="shared" si="10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215"/>
      <c r="L26" s="117"/>
      <c r="M26" s="215" t="s">
        <v>4910</v>
      </c>
      <c r="N26" s="113">
        <f t="shared" si="8"/>
        <v>75867.7</v>
      </c>
      <c r="O26" s="99">
        <v>229</v>
      </c>
      <c r="P26" s="186">
        <f>P64</f>
        <v>331.3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>U26*(1+$N$96+$Q$15*S26/36500)</f>
        <v>182.21348383561644</v>
      </c>
      <c r="W26" s="32">
        <f t="shared" si="6"/>
        <v>185.85775351232877</v>
      </c>
      <c r="X26" s="32">
        <f t="shared" si="7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332</v>
      </c>
      <c r="AM26" s="113">
        <f t="shared" si="10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215"/>
      <c r="L27" s="117"/>
      <c r="M27" s="215" t="s">
        <v>4932</v>
      </c>
      <c r="N27" s="113">
        <f t="shared" si="8"/>
        <v>74424</v>
      </c>
      <c r="O27" s="99">
        <v>120</v>
      </c>
      <c r="P27" s="186">
        <f>P55</f>
        <v>620.20000000000005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>U27*(1+$N$96+$Q$15*S27/36500)</f>
        <v>181.86687123287672</v>
      </c>
      <c r="W27" s="32">
        <f t="shared" si="6"/>
        <v>185.50420865753426</v>
      </c>
      <c r="X27" s="32">
        <f t="shared" si="7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331</v>
      </c>
      <c r="AM27" s="113">
        <f t="shared" si="10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 t="s">
        <v>456</v>
      </c>
      <c r="L28" s="117">
        <v>500000</v>
      </c>
      <c r="M28" s="168" t="s">
        <v>4395</v>
      </c>
      <c r="N28" s="113">
        <f t="shared" si="8"/>
        <v>11149886</v>
      </c>
      <c r="O28" s="99">
        <v>1828</v>
      </c>
      <c r="P28" s="99">
        <f>P54</f>
        <v>6099.5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>U28*(1+$N$96+$Q$15*S28/36500)</f>
        <v>175.26670027397262</v>
      </c>
      <c r="W28" s="32">
        <f t="shared" si="6"/>
        <v>178.77203427945207</v>
      </c>
      <c r="X28" s="32">
        <f t="shared" si="7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330</v>
      </c>
      <c r="AM28" s="113">
        <f t="shared" si="10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68"/>
      <c r="N29" s="113"/>
      <c r="O29" s="69" t="s">
        <v>25</v>
      </c>
      <c r="P29" s="99"/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>U29*(1+$N$96+$Q$15*S29/36500)</f>
        <v>184.69653041095893</v>
      </c>
      <c r="W29" s="32">
        <f t="shared" si="6"/>
        <v>188.3904610191781</v>
      </c>
      <c r="X29" s="32">
        <f t="shared" si="7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325</v>
      </c>
      <c r="AM29" s="113">
        <f t="shared" si="10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/>
      <c r="L30" s="117"/>
      <c r="M30" s="190" t="s">
        <v>4460</v>
      </c>
      <c r="N30" s="113">
        <v>6973</v>
      </c>
      <c r="O30" s="69" t="s">
        <v>25</v>
      </c>
      <c r="P30" s="99" t="s">
        <v>25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>U30*(1+$N$96+$Q$15*S30/36500)</f>
        <v>5660.4686684931521</v>
      </c>
      <c r="W30" s="32">
        <f t="shared" si="6"/>
        <v>5773.6780418630151</v>
      </c>
      <c r="X30" s="32">
        <f t="shared" si="7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324</v>
      </c>
      <c r="AM30" s="113">
        <f t="shared" si="10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/>
      <c r="L31" s="117"/>
      <c r="M31" s="190" t="s">
        <v>4395</v>
      </c>
      <c r="N31" s="113">
        <f t="shared" ref="N31:N37" si="12">O31*P31</f>
        <v>6386176.5</v>
      </c>
      <c r="O31" s="69">
        <v>1047</v>
      </c>
      <c r="P31" s="99">
        <f>P54</f>
        <v>6099.5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>U31*(1+$N$96+$Q$15*S31/36500)</f>
        <v>532.20129972602751</v>
      </c>
      <c r="W31" s="32">
        <f t="shared" si="6"/>
        <v>542.84532572054809</v>
      </c>
      <c r="X31" s="32">
        <f t="shared" si="7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0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215"/>
      <c r="L32" s="117"/>
      <c r="M32" s="190" t="s">
        <v>4932</v>
      </c>
      <c r="N32" s="113">
        <f t="shared" si="12"/>
        <v>74424</v>
      </c>
      <c r="O32" s="69">
        <v>120</v>
      </c>
      <c r="P32" s="99">
        <f>P55</f>
        <v>620.20000000000005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>U32*(1+$N$96+$Q$15*S32/36500)</f>
        <v>509.75786082191786</v>
      </c>
      <c r="W32" s="32">
        <f t="shared" si="6"/>
        <v>519.95301803835628</v>
      </c>
      <c r="X32" s="32">
        <f t="shared" si="7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318</v>
      </c>
      <c r="AM32" s="113">
        <f t="shared" si="10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215"/>
      <c r="L33" s="117"/>
      <c r="M33" s="190" t="s">
        <v>4391</v>
      </c>
      <c r="N33" s="113">
        <f t="shared" si="12"/>
        <v>4268174.7</v>
      </c>
      <c r="O33" s="69">
        <v>1139</v>
      </c>
      <c r="P33" s="99">
        <f>P50</f>
        <v>3747.3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>U33*(1+$N$96+$Q$15*S33/36500)</f>
        <v>498.59800767123301</v>
      </c>
      <c r="W33" s="32">
        <f t="shared" si="6"/>
        <v>508.56996782465768</v>
      </c>
      <c r="X33" s="32">
        <f t="shared" si="7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302</v>
      </c>
      <c r="AM33" s="113">
        <f t="shared" si="10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215"/>
      <c r="L34" s="117"/>
      <c r="M34" s="190" t="s">
        <v>4410</v>
      </c>
      <c r="N34" s="113">
        <f t="shared" si="12"/>
        <v>447976.39999999997</v>
      </c>
      <c r="O34" s="69">
        <v>698</v>
      </c>
      <c r="P34" s="99">
        <f>P56</f>
        <v>641.79999999999995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>U34*(1+$N$96+$Q$15*S34/36500)</f>
        <v>3241.2535890410963</v>
      </c>
      <c r="W34" s="32">
        <f t="shared" ref="W34:W55" si="13">V34*(1+$W$19/100)</f>
        <v>3306.0786608219182</v>
      </c>
      <c r="X34" s="32">
        <f t="shared" ref="X34:X55" si="14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302</v>
      </c>
      <c r="AM34" s="113">
        <f t="shared" si="10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215"/>
      <c r="L35" s="117"/>
      <c r="M35" s="190" t="s">
        <v>4538</v>
      </c>
      <c r="N35" s="113">
        <f t="shared" si="12"/>
        <v>643611.5</v>
      </c>
      <c r="O35" s="69">
        <v>145</v>
      </c>
      <c r="P35" s="99">
        <f>P57</f>
        <v>4438.7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>U35*(1+$N$96+$Q$15*S35/36500)</f>
        <v>176.77660931506853</v>
      </c>
      <c r="W35" s="32">
        <f t="shared" si="13"/>
        <v>180.31214150136989</v>
      </c>
      <c r="X35" s="32">
        <f t="shared" si="14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290</v>
      </c>
      <c r="AM35" s="113">
        <f t="shared" si="10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215"/>
      <c r="L36" s="117"/>
      <c r="M36" s="190" t="s">
        <v>4910</v>
      </c>
      <c r="N36" s="113">
        <f t="shared" si="12"/>
        <v>75867.7</v>
      </c>
      <c r="O36" s="69">
        <v>229</v>
      </c>
      <c r="P36" s="99">
        <f>P64</f>
        <v>331.3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>U36*(1+$N$96+$Q$15*S36/36500)</f>
        <v>4042.1940558904121</v>
      </c>
      <c r="W36" s="32">
        <f t="shared" si="13"/>
        <v>4123.0379370082201</v>
      </c>
      <c r="X36" s="32">
        <f t="shared" si="14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288</v>
      </c>
      <c r="AM36" s="113">
        <f t="shared" si="10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90" t="s">
        <v>4439</v>
      </c>
      <c r="N37" s="113">
        <f t="shared" si="12"/>
        <v>22760466.899999999</v>
      </c>
      <c r="O37" s="69">
        <v>125679</v>
      </c>
      <c r="P37" s="99">
        <f>P63</f>
        <v>181.1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>U37*(1+$N$96+$Q$15*S37/36500)</f>
        <v>3243.2745906849314</v>
      </c>
      <c r="W37" s="32">
        <f t="shared" si="13"/>
        <v>3308.1400824986299</v>
      </c>
      <c r="X37" s="32">
        <f t="shared" si="14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288</v>
      </c>
      <c r="AM37" s="113">
        <f t="shared" si="10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 t="s">
        <v>25</v>
      </c>
      <c r="L38" s="117"/>
      <c r="M38" s="168"/>
      <c r="N38" s="113"/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>U38*(1+$N$96+$Q$15*S38/36500)</f>
        <v>4032.4309435616442</v>
      </c>
      <c r="W38" s="32">
        <f t="shared" si="13"/>
        <v>4113.0795624328775</v>
      </c>
      <c r="X38" s="32">
        <f t="shared" si="14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287</v>
      </c>
      <c r="AM38" s="113">
        <f t="shared" si="10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25</v>
      </c>
      <c r="L39" s="117"/>
      <c r="M39" s="168" t="s">
        <v>756</v>
      </c>
      <c r="N39" s="113">
        <v>3000000</v>
      </c>
      <c r="O39" t="s">
        <v>25</v>
      </c>
      <c r="P39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>U39*(1+$N$96+$Q$15*S39/36500)</f>
        <v>3273.1053150684938</v>
      </c>
      <c r="W39" s="32">
        <f t="shared" si="13"/>
        <v>3338.567421369864</v>
      </c>
      <c r="X39" s="32">
        <f t="shared" si="14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283</v>
      </c>
      <c r="AM39" s="113">
        <f t="shared" si="10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 t="s">
        <v>918</v>
      </c>
      <c r="L40" s="117">
        <v>4800000</v>
      </c>
      <c r="M40" s="168" t="s">
        <v>4149</v>
      </c>
      <c r="N40" s="113">
        <f>-S177</f>
        <v>-484844476.18227571</v>
      </c>
      <c r="O40" s="96" t="s">
        <v>25</v>
      </c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>U40*(1+$N$96+$Q$15*S40/36500)</f>
        <v>3466.6095517808221</v>
      </c>
      <c r="W40" s="32">
        <f t="shared" si="13"/>
        <v>3535.9417428164388</v>
      </c>
      <c r="X40" s="32">
        <f t="shared" si="14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280</v>
      </c>
      <c r="AM40" s="113">
        <f t="shared" si="10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168"/>
      <c r="L41" s="117"/>
      <c r="M41" s="168" t="s">
        <v>753</v>
      </c>
      <c r="N41" s="113">
        <v>500000</v>
      </c>
      <c r="O41" s="96" t="s">
        <v>25</v>
      </c>
      <c r="P41" s="122" t="s">
        <v>25</v>
      </c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>U41*(1+$N$96+$Q$15*S41/36500)</f>
        <v>4354.4277764383569</v>
      </c>
      <c r="W41" s="32">
        <f t="shared" si="13"/>
        <v>4441.5163319671237</v>
      </c>
      <c r="X41" s="32">
        <f t="shared" si="14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276</v>
      </c>
      <c r="AM41" s="113">
        <f t="shared" si="10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168" t="s">
        <v>1086</v>
      </c>
      <c r="L42" s="117">
        <f>'خرید و فروش سکه فیزیکی'!M48*10*P65</f>
        <v>0</v>
      </c>
      <c r="M42" s="168" t="s">
        <v>760</v>
      </c>
      <c r="N42" s="113">
        <v>1200000</v>
      </c>
      <c r="O42" t="s">
        <v>25</v>
      </c>
      <c r="P42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>U42*(1+$N$96+$Q$15*S42/36500)</f>
        <v>547.4965939726028</v>
      </c>
      <c r="W42" s="32">
        <f t="shared" si="13"/>
        <v>558.44652585205483</v>
      </c>
      <c r="X42" s="32">
        <f t="shared" si="14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275</v>
      </c>
      <c r="AM42" s="113">
        <f t="shared" si="10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168" t="s">
        <v>4829</v>
      </c>
      <c r="L43" s="117">
        <v>-47500000</v>
      </c>
      <c r="M43" s="73"/>
      <c r="N43" s="113"/>
      <c r="O43" s="96" t="s">
        <v>25</v>
      </c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>U43*(1+$N$96+$Q$15*S43/36500)</f>
        <v>551.99063671232875</v>
      </c>
      <c r="W43" s="32">
        <f t="shared" si="13"/>
        <v>563.03044944657529</v>
      </c>
      <c r="X43" s="32">
        <f t="shared" si="14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275</v>
      </c>
      <c r="AM43" s="113">
        <f t="shared" si="10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168"/>
      <c r="L44" s="117"/>
      <c r="M44" s="168" t="s">
        <v>1086</v>
      </c>
      <c r="N44" s="113">
        <f>('خرید و فروش سکه فیزیکی'!M47+3)*10*P65</f>
        <v>15900000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>U44*(1+$N$96+$Q$15*S44/36500)</f>
        <v>5621.9069019178087</v>
      </c>
      <c r="W44" s="32">
        <f t="shared" si="13"/>
        <v>5734.3450399561652</v>
      </c>
      <c r="X44" s="32">
        <f t="shared" si="14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274</v>
      </c>
      <c r="AM44" s="113">
        <f t="shared" si="10"/>
        <v>30140000</v>
      </c>
      <c r="AN44" s="99"/>
      <c r="AQ44" s="96"/>
      <c r="AR44" s="96"/>
      <c r="AS44" s="96"/>
      <c r="AV44" s="96"/>
    </row>
    <row r="45" spans="1:54" ht="16.5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168"/>
      <c r="L45" s="117"/>
      <c r="M45" s="168" t="s">
        <v>4828</v>
      </c>
      <c r="N45" s="113">
        <v>-18000000</v>
      </c>
      <c r="O45" s="247"/>
      <c r="P45" s="114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>U45*(1+$N$96+$Q$15*S45/36500)</f>
        <v>3496.3574531506856</v>
      </c>
      <c r="W45" s="32">
        <f t="shared" si="13"/>
        <v>3566.2846022136996</v>
      </c>
      <c r="X45" s="32">
        <f t="shared" si="14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273</v>
      </c>
      <c r="AM45" s="113">
        <f t="shared" si="10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168"/>
      <c r="L46" s="117"/>
      <c r="M46" s="168" t="s">
        <v>4830</v>
      </c>
      <c r="N46" s="113">
        <v>-47000000</v>
      </c>
      <c r="O46" s="96"/>
      <c r="P46" s="96" t="s">
        <v>25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>U46*(1+$N$96+$Q$15*S46/36500)</f>
        <v>4268.7795353424663</v>
      </c>
      <c r="W46" s="32">
        <f t="shared" si="13"/>
        <v>4354.1551260493161</v>
      </c>
      <c r="X46" s="32">
        <f t="shared" si="14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266</v>
      </c>
      <c r="AM46" s="113">
        <f t="shared" si="10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68"/>
      <c r="N47" s="113"/>
      <c r="O47" s="96"/>
      <c r="P47" s="96" t="s">
        <v>25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>U47*(1+$N$96+$Q$15*S47/36500)</f>
        <v>116.18871452054795</v>
      </c>
      <c r="W47" s="32">
        <f t="shared" si="13"/>
        <v>118.51248881095891</v>
      </c>
      <c r="X47" s="32">
        <f t="shared" si="14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260</v>
      </c>
      <c r="AM47" s="113">
        <f t="shared" si="10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68" t="s">
        <v>4459</v>
      </c>
      <c r="N48" s="113">
        <v>2678</v>
      </c>
      <c r="P48" t="s">
        <v>25</v>
      </c>
      <c r="Q48" s="169">
        <v>62110</v>
      </c>
      <c r="R48" s="215" t="s">
        <v>4906</v>
      </c>
      <c r="S48" s="198">
        <f>S47</f>
        <v>21</v>
      </c>
      <c r="T48" s="215" t="s">
        <v>4911</v>
      </c>
      <c r="U48" s="215">
        <v>270</v>
      </c>
      <c r="V48" s="215">
        <f>U48*(1+$N$96+$Q$15*S48/36500)</f>
        <v>277.3735890410959</v>
      </c>
      <c r="W48" s="32">
        <f t="shared" si="13"/>
        <v>282.92106082191782</v>
      </c>
      <c r="X48" s="32">
        <f t="shared" si="14"/>
        <v>288.46853260273974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259</v>
      </c>
      <c r="AM48" s="113">
        <f t="shared" si="10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56"/>
      <c r="L49" s="117"/>
      <c r="M49" s="168"/>
      <c r="N49" s="113"/>
      <c r="O49" s="99"/>
      <c r="P49" s="99"/>
      <c r="Q49" s="169">
        <v>5809833</v>
      </c>
      <c r="R49" s="215" t="s">
        <v>4926</v>
      </c>
      <c r="S49" s="198">
        <f>S48-2</f>
        <v>19</v>
      </c>
      <c r="T49" s="215" t="s">
        <v>4930</v>
      </c>
      <c r="U49" s="215">
        <v>587.29999999999995</v>
      </c>
      <c r="V49" s="215">
        <f>U49*(1+$N$96+$Q$15*S49/36500)</f>
        <v>602.43785863013693</v>
      </c>
      <c r="W49" s="32">
        <f t="shared" si="13"/>
        <v>614.48661580273972</v>
      </c>
      <c r="X49" s="32">
        <f t="shared" si="14"/>
        <v>626.5353729753424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0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56"/>
      <c r="L50" s="117"/>
      <c r="M50" s="206" t="s">
        <v>4391</v>
      </c>
      <c r="N50" s="113">
        <f>O50*P50</f>
        <v>119898610.80000001</v>
      </c>
      <c r="O50" s="99">
        <v>31996</v>
      </c>
      <c r="P50" s="99">
        <v>3747.3</v>
      </c>
      <c r="Q50" s="169">
        <v>22263826</v>
      </c>
      <c r="R50" s="215" t="s">
        <v>4926</v>
      </c>
      <c r="S50" s="198">
        <f>S49</f>
        <v>19</v>
      </c>
      <c r="T50" s="215" t="s">
        <v>4931</v>
      </c>
      <c r="U50" s="215">
        <v>3560</v>
      </c>
      <c r="V50" s="215">
        <f>U50*(1+$N$96+$Q$15*S50/36500)</f>
        <v>3651.760219178082</v>
      </c>
      <c r="W50" s="32">
        <f t="shared" si="13"/>
        <v>3724.7954235616439</v>
      </c>
      <c r="X50" s="32">
        <f t="shared" si="14"/>
        <v>3797.8306279452054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256</v>
      </c>
      <c r="AM50" s="113">
        <f t="shared" si="10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4583</v>
      </c>
      <c r="N51" s="117">
        <f t="shared" ref="N51:N65" si="15">O51*P51</f>
        <v>801400</v>
      </c>
      <c r="O51" s="69">
        <v>2000</v>
      </c>
      <c r="P51" s="69">
        <v>400.7</v>
      </c>
      <c r="Q51" s="169">
        <v>48217</v>
      </c>
      <c r="R51" s="215" t="s">
        <v>4926</v>
      </c>
      <c r="S51" s="198">
        <f>S50</f>
        <v>19</v>
      </c>
      <c r="T51" s="215" t="s">
        <v>4933</v>
      </c>
      <c r="U51" s="215">
        <v>400</v>
      </c>
      <c r="V51" s="215">
        <f>U51*(1+$N$96+$Q$15*S51/36500)</f>
        <v>410.31013698630136</v>
      </c>
      <c r="W51" s="32">
        <f t="shared" si="13"/>
        <v>418.51633972602741</v>
      </c>
      <c r="X51" s="32">
        <f t="shared" si="14"/>
        <v>426.72254246575341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254</v>
      </c>
      <c r="AM51" s="113">
        <f t="shared" si="10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4539</v>
      </c>
      <c r="N52" s="117">
        <f t="shared" si="15"/>
        <v>113841.59999999999</v>
      </c>
      <c r="O52" s="69">
        <v>888</v>
      </c>
      <c r="P52" s="69">
        <v>128.19999999999999</v>
      </c>
      <c r="Q52" s="169">
        <v>112288</v>
      </c>
      <c r="R52" s="215" t="s">
        <v>981</v>
      </c>
      <c r="S52" s="198">
        <f>S51-1</f>
        <v>18</v>
      </c>
      <c r="T52" s="215" t="s">
        <v>4935</v>
      </c>
      <c r="U52" s="215">
        <v>3605.5</v>
      </c>
      <c r="V52" s="215">
        <f>U52*(1+$N$96+$Q$15*S52/36500)</f>
        <v>3695.6671342465756</v>
      </c>
      <c r="W52" s="32">
        <f t="shared" si="13"/>
        <v>3769.5804769315073</v>
      </c>
      <c r="X52" s="32">
        <f t="shared" si="14"/>
        <v>3843.4938196164389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240</v>
      </c>
      <c r="AM52" s="113">
        <f t="shared" si="10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4569</v>
      </c>
      <c r="N53" s="117">
        <f t="shared" si="15"/>
        <v>59679.999999999993</v>
      </c>
      <c r="O53" s="69">
        <v>50</v>
      </c>
      <c r="P53" s="69">
        <v>1193.5999999999999</v>
      </c>
      <c r="Q53" s="169">
        <v>931614</v>
      </c>
      <c r="R53" s="215" t="s">
        <v>4941</v>
      </c>
      <c r="S53" s="198">
        <f>S52-8</f>
        <v>10</v>
      </c>
      <c r="T53" s="215" t="s">
        <v>4943</v>
      </c>
      <c r="U53" s="215">
        <v>4437</v>
      </c>
      <c r="V53" s="215">
        <f>U53*(1+$N$96+$Q$15*S53/36500)</f>
        <v>4520.7316602739729</v>
      </c>
      <c r="W53" s="32">
        <f t="shared" si="13"/>
        <v>4611.1462934794527</v>
      </c>
      <c r="X53" s="32">
        <f t="shared" si="14"/>
        <v>4701.5609266849324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239</v>
      </c>
      <c r="AM53" s="113">
        <f t="shared" si="10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19" t="s">
        <v>4395</v>
      </c>
      <c r="N54" s="113">
        <f t="shared" si="15"/>
        <v>202735181</v>
      </c>
      <c r="O54" s="69">
        <v>33238</v>
      </c>
      <c r="P54" s="69">
        <v>6099.5</v>
      </c>
      <c r="Q54" s="169">
        <v>533965</v>
      </c>
      <c r="R54" s="215" t="s">
        <v>4986</v>
      </c>
      <c r="S54" s="198">
        <f>S53-12</f>
        <v>-2</v>
      </c>
      <c r="T54" s="215" t="s">
        <v>4987</v>
      </c>
      <c r="U54" s="215">
        <v>4429.2</v>
      </c>
      <c r="V54" s="215">
        <f>U54*(1+$N$96+$Q$15*S54/36500)</f>
        <v>4472.0115550684932</v>
      </c>
      <c r="W54" s="32">
        <f t="shared" si="13"/>
        <v>4561.4517861698632</v>
      </c>
      <c r="X54" s="32">
        <f t="shared" si="14"/>
        <v>4650.8920172712333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235</v>
      </c>
      <c r="AM54" s="113">
        <f t="shared" si="10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19" t="s">
        <v>4932</v>
      </c>
      <c r="N55" s="113">
        <f t="shared" si="15"/>
        <v>74424</v>
      </c>
      <c r="O55" s="69">
        <v>120</v>
      </c>
      <c r="P55" s="69">
        <v>620.20000000000005</v>
      </c>
      <c r="Q55" s="169"/>
      <c r="R55" s="168"/>
      <c r="S55" s="168"/>
      <c r="T55" s="168"/>
      <c r="U55" s="168"/>
      <c r="V55" s="215">
        <f>U55*(1+$N$96+$Q$15*S55/36500)</f>
        <v>0</v>
      </c>
      <c r="W55" s="32">
        <f t="shared" si="13"/>
        <v>0</v>
      </c>
      <c r="X55" s="32">
        <f t="shared" si="14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233</v>
      </c>
      <c r="AM55" s="170">
        <f t="shared" si="10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19" t="s">
        <v>4410</v>
      </c>
      <c r="N56" s="117">
        <f t="shared" si="15"/>
        <v>68403044</v>
      </c>
      <c r="O56" s="69">
        <v>106580</v>
      </c>
      <c r="P56" s="69">
        <v>641.79999999999995</v>
      </c>
      <c r="Q56" s="169">
        <f>SUM(N21:N28)-SUM(Q20:Q55)</f>
        <v>36776847.800000012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231</v>
      </c>
      <c r="AM56" s="113">
        <f t="shared" si="10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19" t="s">
        <v>4538</v>
      </c>
      <c r="N57" s="117">
        <f t="shared" si="15"/>
        <v>33805139.199999996</v>
      </c>
      <c r="O57" s="69">
        <v>7616</v>
      </c>
      <c r="P57" s="69">
        <v>4438.7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231</v>
      </c>
      <c r="AM57" s="113">
        <f t="shared" si="10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 t="s">
        <v>25</v>
      </c>
      <c r="L58" s="117"/>
      <c r="M58" s="21" t="s">
        <v>4537</v>
      </c>
      <c r="N58" s="117">
        <f t="shared" si="15"/>
        <v>16584874.199999999</v>
      </c>
      <c r="O58" s="69">
        <v>2913</v>
      </c>
      <c r="P58" s="69">
        <v>5693.4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230</v>
      </c>
      <c r="AM58" s="113">
        <f t="shared" si="10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 t="s">
        <v>25</v>
      </c>
      <c r="L59" s="117"/>
      <c r="M59" s="21" t="s">
        <v>4614</v>
      </c>
      <c r="N59" s="117">
        <f t="shared" si="15"/>
        <v>4382940</v>
      </c>
      <c r="O59" s="69">
        <v>5100</v>
      </c>
      <c r="P59" s="69">
        <v>859.4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215</v>
      </c>
      <c r="AM59" s="172">
        <f t="shared" si="10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21" t="s">
        <v>4296</v>
      </c>
      <c r="N60" s="117">
        <f>O60*P60</f>
        <v>2451748.7999999998</v>
      </c>
      <c r="O60" s="69">
        <v>6997</v>
      </c>
      <c r="P60" s="69">
        <v>350.4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209</v>
      </c>
      <c r="AM60" s="113">
        <f t="shared" si="10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9" t="s">
        <v>4587</v>
      </c>
      <c r="N61" s="113">
        <f t="shared" si="15"/>
        <v>231781.2</v>
      </c>
      <c r="O61" s="69">
        <v>1148</v>
      </c>
      <c r="P61" s="69">
        <v>201.9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206</v>
      </c>
      <c r="AM61" s="113">
        <f t="shared" si="10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117"/>
      <c r="M62" s="21" t="s">
        <v>4630</v>
      </c>
      <c r="N62" s="117">
        <f t="shared" si="15"/>
        <v>1371150</v>
      </c>
      <c r="O62" s="69">
        <v>5500</v>
      </c>
      <c r="P62" s="69">
        <v>249.3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>U62*(1+$N$96+$Q$15*S62/36500)</f>
        <v>205.50177753424657</v>
      </c>
      <c r="W62" s="32">
        <f t="shared" ref="W62:W79" si="16">V62*(1+$W$19/100)</f>
        <v>209.6118130849315</v>
      </c>
      <c r="X62" s="32">
        <f t="shared" ref="X62:X79" si="17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0"/>
        <v>41000000</v>
      </c>
      <c r="AN62" s="20"/>
    </row>
    <row r="63" spans="1:45">
      <c r="E63" s="26"/>
      <c r="K63" s="56"/>
      <c r="L63" s="117"/>
      <c r="M63" s="19" t="s">
        <v>4179</v>
      </c>
      <c r="N63" s="113">
        <f t="shared" si="15"/>
        <v>233689629</v>
      </c>
      <c r="O63" s="99">
        <v>1290390</v>
      </c>
      <c r="P63" s="99">
        <v>181.1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>U63*(1+$N$96+$Q$15*S63/36500)</f>
        <v>184.86435068493151</v>
      </c>
      <c r="W63" s="32">
        <f t="shared" si="16"/>
        <v>188.56163769863014</v>
      </c>
      <c r="X63" s="32">
        <f t="shared" si="17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202</v>
      </c>
      <c r="AM63" s="113">
        <f t="shared" si="10"/>
        <v>202000000</v>
      </c>
      <c r="AN63" s="20"/>
    </row>
    <row r="64" spans="1:45">
      <c r="E64" s="26"/>
      <c r="K64" s="56"/>
      <c r="L64" s="117"/>
      <c r="M64" s="19" t="s">
        <v>4910</v>
      </c>
      <c r="N64" s="113">
        <f t="shared" si="15"/>
        <v>75867.7</v>
      </c>
      <c r="O64" s="99">
        <v>229</v>
      </c>
      <c r="P64" s="99">
        <v>331.3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>U64*(1+$N$96+$Q$15*S64/36500)</f>
        <v>182.7616591780822</v>
      </c>
      <c r="W64" s="32">
        <f t="shared" si="16"/>
        <v>186.41689236164385</v>
      </c>
      <c r="X64" s="32">
        <f t="shared" si="17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0"/>
        <v>258700000</v>
      </c>
      <c r="AN64" s="20"/>
    </row>
    <row r="65" spans="1:40">
      <c r="K65" s="99"/>
      <c r="L65" s="117"/>
      <c r="M65" s="21" t="s">
        <v>1086</v>
      </c>
      <c r="N65" s="117">
        <f t="shared" si="15"/>
        <v>0</v>
      </c>
      <c r="O65" s="69">
        <v>0</v>
      </c>
      <c r="P65" s="69">
        <v>530000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>U65*(1+$N$96+$Q$15*S65/36500)</f>
        <v>182.524221369863</v>
      </c>
      <c r="W65" s="32">
        <f t="shared" si="16"/>
        <v>186.17470579726026</v>
      </c>
      <c r="X65" s="32">
        <f t="shared" si="17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199</v>
      </c>
      <c r="AM65" s="113">
        <f t="shared" si="10"/>
        <v>198005000</v>
      </c>
      <c r="AN65" s="20"/>
    </row>
    <row r="66" spans="1:40">
      <c r="K66" s="99"/>
      <c r="L66" s="117"/>
      <c r="M66" s="73"/>
      <c r="N66" s="117"/>
      <c r="O66" s="122"/>
      <c r="P66" s="122"/>
      <c r="Q66" s="169">
        <v>168846</v>
      </c>
      <c r="R66" s="168" t="s">
        <v>3691</v>
      </c>
      <c r="S66" s="198">
        <f>S65-30</f>
        <v>80</v>
      </c>
      <c r="T66" s="190" t="s">
        <v>4622</v>
      </c>
      <c r="U66" s="168">
        <v>172.2</v>
      </c>
      <c r="V66" s="168">
        <f>U66*(1+$N$96+$Q$15*S66/36500)</f>
        <v>184.69653041095893</v>
      </c>
      <c r="W66" s="32">
        <f t="shared" si="16"/>
        <v>188.3904610191781</v>
      </c>
      <c r="X66" s="32">
        <f t="shared" si="17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197</v>
      </c>
      <c r="AM66" s="113">
        <f t="shared" si="10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168" t="s">
        <v>1152</v>
      </c>
      <c r="N67" s="117">
        <v>14908</v>
      </c>
      <c r="O67" s="96"/>
      <c r="P67" t="s">
        <v>25</v>
      </c>
      <c r="Q67" s="169">
        <v>250962</v>
      </c>
      <c r="R67" s="168" t="s">
        <v>4665</v>
      </c>
      <c r="S67" s="198">
        <f>S66-10</f>
        <v>70</v>
      </c>
      <c r="T67" s="190" t="s">
        <v>4666</v>
      </c>
      <c r="U67" s="168">
        <v>5315.5</v>
      </c>
      <c r="V67" s="168">
        <f>U67*(1+$N$96+$Q$15*S67/36500)</f>
        <v>5660.4686684931521</v>
      </c>
      <c r="W67" s="32">
        <f t="shared" si="16"/>
        <v>5773.6780418630151</v>
      </c>
      <c r="X67" s="32">
        <f t="shared" si="17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195</v>
      </c>
      <c r="AM67" s="113">
        <f t="shared" si="10"/>
        <v>-604500000</v>
      </c>
      <c r="AN67" s="20"/>
    </row>
    <row r="68" spans="1:40">
      <c r="F68" t="s">
        <v>4103</v>
      </c>
      <c r="G68" t="s">
        <v>4098</v>
      </c>
      <c r="K68" s="99"/>
      <c r="L68" s="99"/>
      <c r="M68" s="168" t="s">
        <v>1153</v>
      </c>
      <c r="N68" s="117">
        <v>5282</v>
      </c>
      <c r="O68" s="96"/>
      <c r="P68" t="s">
        <v>25</v>
      </c>
      <c r="Q68" s="169">
        <v>352231</v>
      </c>
      <c r="R68" s="215" t="s">
        <v>4715</v>
      </c>
      <c r="S68" s="198">
        <f>S67-7</f>
        <v>63</v>
      </c>
      <c r="T68" s="190" t="s">
        <v>4717</v>
      </c>
      <c r="U68" s="215">
        <v>502.3</v>
      </c>
      <c r="V68" s="215">
        <f>U68*(1+$N$96+$Q$15*S68/36500)</f>
        <v>532.20129972602751</v>
      </c>
      <c r="W68" s="32">
        <f t="shared" si="16"/>
        <v>542.84532572054809</v>
      </c>
      <c r="X68" s="32">
        <f t="shared" si="17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192</v>
      </c>
      <c r="AM68" s="113">
        <f t="shared" si="10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O69" s="115"/>
      <c r="P69" s="115"/>
      <c r="Q69" s="169">
        <v>165067</v>
      </c>
      <c r="R69" s="215" t="s">
        <v>4765</v>
      </c>
      <c r="S69" s="198">
        <f>S68-16</f>
        <v>47</v>
      </c>
      <c r="T69" s="190" t="s">
        <v>4773</v>
      </c>
      <c r="U69" s="215">
        <v>3095.9</v>
      </c>
      <c r="V69" s="215">
        <f>U69*(1+$N$96+$Q$15*S69/36500)</f>
        <v>3242.1961183561652</v>
      </c>
      <c r="W69" s="32">
        <f t="shared" si="16"/>
        <v>3307.0400407232887</v>
      </c>
      <c r="X69" s="32">
        <f t="shared" si="17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191</v>
      </c>
      <c r="AM69" s="113">
        <f t="shared" si="10"/>
        <v>6398500000</v>
      </c>
      <c r="AN69" s="20"/>
    </row>
    <row r="70" spans="1:40">
      <c r="G70" t="s">
        <v>4101</v>
      </c>
      <c r="K70" s="168" t="s">
        <v>25</v>
      </c>
      <c r="L70" s="117"/>
      <c r="M70" s="168" t="s">
        <v>4180</v>
      </c>
      <c r="N70" s="113">
        <f>-O70*P70</f>
        <v>-9723983.4000000004</v>
      </c>
      <c r="O70" s="99">
        <v>53694</v>
      </c>
      <c r="P70" s="99">
        <f>P63</f>
        <v>181.1</v>
      </c>
      <c r="Q70" s="169">
        <v>62110</v>
      </c>
      <c r="R70" s="215" t="s">
        <v>4906</v>
      </c>
      <c r="S70" s="198">
        <f>S69-26</f>
        <v>21</v>
      </c>
      <c r="T70" s="190" t="s">
        <v>4911</v>
      </c>
      <c r="U70" s="215">
        <v>270</v>
      </c>
      <c r="V70" s="215">
        <f>U70*(1+$N$96+$Q$15*S70/36500)</f>
        <v>277.3735890410959</v>
      </c>
      <c r="W70" s="32">
        <f t="shared" si="16"/>
        <v>282.92106082191782</v>
      </c>
      <c r="X70" s="32">
        <f t="shared" si="17"/>
        <v>288.46853260273974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190</v>
      </c>
      <c r="AM70" s="117">
        <f t="shared" si="10"/>
        <v>2280000000</v>
      </c>
      <c r="AN70" s="20"/>
    </row>
    <row r="71" spans="1:40">
      <c r="G71" t="s">
        <v>4102</v>
      </c>
      <c r="K71" s="168"/>
      <c r="L71" s="117"/>
      <c r="M71" s="168"/>
      <c r="N71" s="113"/>
      <c r="Q71" s="169">
        <v>48217</v>
      </c>
      <c r="R71" s="215" t="s">
        <v>4926</v>
      </c>
      <c r="S71" s="198">
        <f>S70-2</f>
        <v>19</v>
      </c>
      <c r="T71" s="190" t="s">
        <v>4933</v>
      </c>
      <c r="U71" s="215">
        <v>400</v>
      </c>
      <c r="V71" s="215">
        <f>U71*(1+$N$96+$Q$15*S71/36500)</f>
        <v>410.31013698630136</v>
      </c>
      <c r="W71" s="32">
        <f t="shared" si="16"/>
        <v>418.51633972602741</v>
      </c>
      <c r="X71" s="32">
        <f t="shared" si="17"/>
        <v>426.72254246575341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189</v>
      </c>
      <c r="AM71" s="117">
        <f t="shared" si="10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Q72" s="169">
        <v>115911</v>
      </c>
      <c r="R72" s="215" t="s">
        <v>981</v>
      </c>
      <c r="S72" s="198">
        <f>S71-1</f>
        <v>18</v>
      </c>
      <c r="T72" s="190" t="s">
        <v>4936</v>
      </c>
      <c r="U72" s="215">
        <v>3605.5</v>
      </c>
      <c r="V72" s="215">
        <f>U72*(1+$N$96+$Q$15*S72/36500)</f>
        <v>3695.6671342465756</v>
      </c>
      <c r="W72" s="32">
        <f t="shared" si="16"/>
        <v>3769.5804769315073</v>
      </c>
      <c r="X72" s="32">
        <f t="shared" si="17"/>
        <v>3843.4938196164389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185</v>
      </c>
      <c r="AM72" s="117">
        <f t="shared" si="10"/>
        <v>27750000</v>
      </c>
      <c r="AN72" s="20"/>
    </row>
    <row r="73" spans="1:40">
      <c r="G73" t="s">
        <v>4105</v>
      </c>
      <c r="K73" s="168"/>
      <c r="L73" s="117"/>
      <c r="M73" s="168" t="s">
        <v>4446</v>
      </c>
      <c r="N73" s="113">
        <f>-S178</f>
        <v>-13930111.120944144</v>
      </c>
      <c r="Q73" s="169">
        <v>102339</v>
      </c>
      <c r="R73" s="215" t="s">
        <v>4941</v>
      </c>
      <c r="S73" s="198">
        <f>S72-8</f>
        <v>10</v>
      </c>
      <c r="T73" s="190" t="s">
        <v>4942</v>
      </c>
      <c r="U73" s="215">
        <v>4429</v>
      </c>
      <c r="V73" s="215">
        <f>U73*(1+$N$96+$Q$15*S73/36500)</f>
        <v>4512.5806904109595</v>
      </c>
      <c r="W73" s="32">
        <f t="shared" si="16"/>
        <v>4602.8323042191787</v>
      </c>
      <c r="X73" s="32">
        <f t="shared" si="17"/>
        <v>4693.0839180273979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184</v>
      </c>
      <c r="AM73" s="180">
        <f t="shared" si="10"/>
        <v>5336000000</v>
      </c>
      <c r="AN73" s="179" t="s">
        <v>4186</v>
      </c>
    </row>
    <row r="74" spans="1:40">
      <c r="K74" s="168"/>
      <c r="L74" s="117"/>
      <c r="M74" s="168" t="s">
        <v>4739</v>
      </c>
      <c r="N74" s="113">
        <f>50*P65</f>
        <v>26500000</v>
      </c>
      <c r="P74" t="s">
        <v>25</v>
      </c>
      <c r="Q74" s="169">
        <v>3792615</v>
      </c>
      <c r="R74" s="5" t="s">
        <v>4957</v>
      </c>
      <c r="S74" s="198">
        <f>S73-4</f>
        <v>6</v>
      </c>
      <c r="T74" s="190" t="s">
        <v>4960</v>
      </c>
      <c r="U74" s="215">
        <v>3775.1</v>
      </c>
      <c r="V74" s="215">
        <f>U74*(1+$N$96+$Q$15*S74/36500)</f>
        <v>3834.7569227397262</v>
      </c>
      <c r="W74" s="32">
        <f t="shared" si="16"/>
        <v>3911.4520611945209</v>
      </c>
      <c r="X74" s="32">
        <f t="shared" si="17"/>
        <v>3988.1471996493156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169</v>
      </c>
      <c r="AM74" s="117">
        <f t="shared" si="10"/>
        <v>-21970000</v>
      </c>
      <c r="AN74" s="20" t="s">
        <v>4212</v>
      </c>
    </row>
    <row r="75" spans="1:40">
      <c r="K75" s="168"/>
      <c r="L75" s="117"/>
      <c r="M75" s="168"/>
      <c r="N75" s="113"/>
      <c r="P75" t="s">
        <v>25</v>
      </c>
      <c r="Q75" s="169">
        <v>6278475</v>
      </c>
      <c r="R75" s="5" t="s">
        <v>4957</v>
      </c>
      <c r="S75" s="198">
        <f>S74</f>
        <v>6</v>
      </c>
      <c r="T75" s="190" t="s">
        <v>4961</v>
      </c>
      <c r="U75" s="215">
        <v>6250.1</v>
      </c>
      <c r="V75" s="215">
        <f>U75*(1+$N$96+$Q$15*S75/36500)</f>
        <v>6348.868703561644</v>
      </c>
      <c r="W75" s="32">
        <f t="shared" si="16"/>
        <v>6475.8460776328766</v>
      </c>
      <c r="X75" s="32">
        <f t="shared" si="17"/>
        <v>6602.8234517041101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 t="s">
        <v>598</v>
      </c>
      <c r="L76" s="113">
        <f>SUM(L16:L59)</f>
        <v>443656617.18227571</v>
      </c>
      <c r="M76" s="168"/>
      <c r="N76" s="113">
        <f>SUM(N16:N75)</f>
        <v>506217400.29678005</v>
      </c>
      <c r="Q76" s="169">
        <v>13517</v>
      </c>
      <c r="R76" s="5" t="s">
        <v>4957</v>
      </c>
      <c r="S76" s="198">
        <f>S75</f>
        <v>6</v>
      </c>
      <c r="T76" s="190" t="s">
        <v>4962</v>
      </c>
      <c r="U76" s="215">
        <v>4485.1000000000004</v>
      </c>
      <c r="V76" s="215">
        <f>U76*(1+$N$96+$Q$15*S76/36500)</f>
        <v>4555.9768679452063</v>
      </c>
      <c r="W76" s="32">
        <f t="shared" si="16"/>
        <v>4647.0964053041107</v>
      </c>
      <c r="X76" s="32">
        <f t="shared" si="17"/>
        <v>4738.2159426630151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160</v>
      </c>
      <c r="AM76" s="117">
        <f t="shared" si="10"/>
        <v>-27200000</v>
      </c>
      <c r="AN76" s="20"/>
    </row>
    <row r="77" spans="1:40">
      <c r="D77" s="1" t="s">
        <v>305</v>
      </c>
      <c r="E77" s="1">
        <v>70000</v>
      </c>
      <c r="K77" s="168" t="s">
        <v>599</v>
      </c>
      <c r="L77" s="113">
        <f>L16+L17+L28</f>
        <v>621510</v>
      </c>
      <c r="M77" s="168"/>
      <c r="N77" s="113">
        <f>N16+N17+N41</f>
        <v>641053</v>
      </c>
      <c r="Q77" s="169">
        <v>19918023</v>
      </c>
      <c r="R77" s="5" t="s">
        <v>4957</v>
      </c>
      <c r="S77" s="198">
        <f>S76</f>
        <v>6</v>
      </c>
      <c r="T77" s="190" t="s">
        <v>4963</v>
      </c>
      <c r="U77" s="215">
        <v>183</v>
      </c>
      <c r="V77" s="215">
        <f>U77*(1+$N$96+$Q$15*S77/36500)</f>
        <v>185.89190136986301</v>
      </c>
      <c r="W77" s="32">
        <f t="shared" si="16"/>
        <v>189.60973939726026</v>
      </c>
      <c r="X77" s="32">
        <f t="shared" si="17"/>
        <v>193.32757742465753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157</v>
      </c>
      <c r="AM77" s="117">
        <f t="shared" si="10"/>
        <v>-47100000</v>
      </c>
      <c r="AN77" s="20"/>
    </row>
    <row r="78" spans="1:40">
      <c r="D78" s="1" t="s">
        <v>321</v>
      </c>
      <c r="E78" s="1">
        <v>100000</v>
      </c>
      <c r="K78" s="56" t="s">
        <v>716</v>
      </c>
      <c r="L78" s="1">
        <f>L76+N7</f>
        <v>513656617.18227571</v>
      </c>
      <c r="M78" s="113"/>
      <c r="N78" s="168"/>
      <c r="O78" s="115"/>
      <c r="P78" s="115"/>
      <c r="Q78" s="169">
        <v>529520</v>
      </c>
      <c r="R78" s="5" t="s">
        <v>4986</v>
      </c>
      <c r="S78" s="198">
        <f>S77-8</f>
        <v>-2</v>
      </c>
      <c r="T78" s="190" t="s">
        <v>4988</v>
      </c>
      <c r="U78" s="215">
        <v>4429.2</v>
      </c>
      <c r="V78" s="215">
        <f>U78*(1+$N$96+$Q$15*S78/36500)</f>
        <v>4472.0115550684932</v>
      </c>
      <c r="W78" s="32">
        <f t="shared" si="16"/>
        <v>4561.4517861698632</v>
      </c>
      <c r="X78" s="32">
        <f t="shared" si="17"/>
        <v>4650.8920172712333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0"/>
        <v>-1755600000</v>
      </c>
      <c r="AN78" s="20"/>
    </row>
    <row r="79" spans="1:40">
      <c r="D79" s="1" t="s">
        <v>306</v>
      </c>
      <c r="E79" s="1">
        <v>80000</v>
      </c>
      <c r="O79" s="96"/>
      <c r="P79" s="96"/>
      <c r="Q79" s="169"/>
      <c r="R79" s="168"/>
      <c r="S79" s="113"/>
      <c r="T79" s="113"/>
      <c r="U79" s="168"/>
      <c r="V79" s="168">
        <f>U79*(1+$N$96+$Q$15*S79/36500)</f>
        <v>0</v>
      </c>
      <c r="W79" s="32">
        <f t="shared" si="16"/>
        <v>0</v>
      </c>
      <c r="X79" s="32">
        <f t="shared" si="17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25"/>
      <c r="O80" t="s">
        <v>25</v>
      </c>
      <c r="Q80" s="113">
        <f>SUM(N31:N37)-SUM(Q61:Q79)</f>
        <v>18349.69999999553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25" t="s">
        <v>4080</v>
      </c>
      <c r="N81" s="99" t="s">
        <v>452</v>
      </c>
      <c r="O81" s="113">
        <f>O63*25</f>
        <v>32259750</v>
      </c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8"/>
        <v>135</v>
      </c>
      <c r="AM81" s="117">
        <f t="shared" si="10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77"/>
      <c r="N82" s="99" t="s">
        <v>1087</v>
      </c>
      <c r="O82" s="113">
        <f>O37*25</f>
        <v>3141975</v>
      </c>
      <c r="P82" s="115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0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96" t="s">
        <v>4868</v>
      </c>
      <c r="N83" s="99" t="s">
        <v>751</v>
      </c>
      <c r="O83" s="113">
        <f>O21*25</f>
        <v>2060725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8"/>
        <v>132</v>
      </c>
      <c r="AM83" s="117">
        <f t="shared" si="10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22" t="s">
        <v>4411</v>
      </c>
      <c r="O84" s="114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8"/>
        <v>129</v>
      </c>
      <c r="AM84" s="117">
        <f t="shared" si="10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22" t="s">
        <v>4507</v>
      </c>
      <c r="N85" s="96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8"/>
        <v>125</v>
      </c>
      <c r="AM85" s="117">
        <f t="shared" si="10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122" t="s">
        <v>4577</v>
      </c>
      <c r="N86" s="96"/>
      <c r="P86" t="s">
        <v>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8"/>
        <v>120</v>
      </c>
      <c r="AM86" s="117">
        <f t="shared" si="10"/>
        <v>900000000</v>
      </c>
      <c r="AN86" s="20"/>
    </row>
    <row r="87" spans="4:52" ht="45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s="214" t="s">
        <v>4789</v>
      </c>
      <c r="L87" s="22" t="s">
        <v>4755</v>
      </c>
      <c r="M87" s="208" t="s">
        <v>4730</v>
      </c>
      <c r="N87" s="96"/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8"/>
        <v>118</v>
      </c>
      <c r="AM87" s="117">
        <f t="shared" si="10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4790</v>
      </c>
      <c r="M88" s="122"/>
      <c r="N88" s="96"/>
      <c r="P88" s="115" t="s">
        <v>25</v>
      </c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>U88*(1+$N$96+$Q$15*S88/36500)</f>
        <v>222.87149589041098</v>
      </c>
      <c r="W88" s="32">
        <f t="shared" ref="W88:W109" si="19">V88*(1+$W$19/100)</f>
        <v>227.3289258082192</v>
      </c>
      <c r="X88" s="32">
        <f t="shared" ref="X88:X109" si="20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0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4580</v>
      </c>
      <c r="L89" s="96"/>
      <c r="M89" s="122"/>
      <c r="O89" t="s">
        <v>25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>U89*(1+$N$96+$Q$15*S89/36500)</f>
        <v>243.96785358904111</v>
      </c>
      <c r="W89" s="32">
        <f t="shared" si="19"/>
        <v>248.84721066082193</v>
      </c>
      <c r="X89" s="32">
        <f t="shared" si="20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8"/>
        <v>115</v>
      </c>
      <c r="AM89" s="117">
        <f t="shared" si="10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4869</v>
      </c>
      <c r="M90" s="96">
        <f>O63+O21+O37-O70</f>
        <v>1444804</v>
      </c>
      <c r="N90" s="113">
        <f>M90*P63</f>
        <v>261654004.40000001</v>
      </c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>U90*(1+$N$96+$Q$15*S90/36500)</f>
        <v>233.3882476712329</v>
      </c>
      <c r="W90" s="32">
        <f t="shared" si="19"/>
        <v>238.05601262465757</v>
      </c>
      <c r="X90" s="32">
        <f t="shared" si="20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8"/>
        <v>114</v>
      </c>
      <c r="AM90" s="117">
        <f t="shared" si="10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4870</v>
      </c>
      <c r="M91" t="s">
        <v>4267</v>
      </c>
      <c r="P91" s="115"/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>U91*(1+$N$96+$Q$15*S91/36500)</f>
        <v>229.02048000000005</v>
      </c>
      <c r="W91" s="32">
        <f t="shared" si="19"/>
        <v>233.60088960000004</v>
      </c>
      <c r="X91" s="32">
        <f t="shared" si="20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8"/>
        <v>113</v>
      </c>
      <c r="AM91" s="117">
        <f t="shared" si="10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4871</v>
      </c>
      <c r="M92" t="s">
        <v>4582</v>
      </c>
      <c r="N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>U92*(1+$N$96+$Q$15*S92/36500)</f>
        <v>228.12192000000005</v>
      </c>
      <c r="W92" s="32">
        <f t="shared" si="19"/>
        <v>232.68435840000006</v>
      </c>
      <c r="X92" s="32">
        <f t="shared" si="20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112</v>
      </c>
      <c r="AM92" s="117">
        <f t="shared" si="10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4540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>U93*(1+$N$96+$Q$15*S93/36500)</f>
        <v>4411.1612054794523</v>
      </c>
      <c r="W93" s="32">
        <f t="shared" si="19"/>
        <v>4499.3844295890412</v>
      </c>
      <c r="X93" s="32">
        <f t="shared" si="20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0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4586</v>
      </c>
      <c r="M94" t="s">
        <v>949</v>
      </c>
      <c r="N94">
        <v>6.3E-3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>U94*(1+$N$96+$Q$15*S94/36500)</f>
        <v>226.53361315068494</v>
      </c>
      <c r="W94" s="32">
        <f t="shared" si="19"/>
        <v>231.06428541369866</v>
      </c>
      <c r="X94" s="32">
        <f t="shared" si="20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0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4539</v>
      </c>
      <c r="M95" t="s">
        <v>61</v>
      </c>
      <c r="N95">
        <v>4.8999999999999998E-3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>U95*(1+$N$96+$Q$15*S95/36500)</f>
        <v>6219.7363463013708</v>
      </c>
      <c r="W95" s="32">
        <f t="shared" si="19"/>
        <v>6344.1310732273987</v>
      </c>
      <c r="X95" s="32">
        <f t="shared" si="20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1">AL96+AK95</f>
        <v>106</v>
      </c>
      <c r="AM95" s="117">
        <f t="shared" si="10"/>
        <v>240514000</v>
      </c>
      <c r="AN95" s="99"/>
    </row>
    <row r="96" spans="4:52">
      <c r="D96" s="32" t="s">
        <v>314</v>
      </c>
      <c r="E96" s="1">
        <v>140000</v>
      </c>
      <c r="K96" s="22" t="s">
        <v>4243</v>
      </c>
      <c r="M96" t="s">
        <v>6</v>
      </c>
      <c r="N96">
        <f>N94+N95</f>
        <v>1.12E-2</v>
      </c>
      <c r="O96" t="s">
        <v>25</v>
      </c>
      <c r="P96" t="s">
        <v>25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>U96*(1+$N$96+$Q$15*S96/36500)</f>
        <v>494.19626958904115</v>
      </c>
      <c r="W96" s="32">
        <f t="shared" si="19"/>
        <v>504.080194980822</v>
      </c>
      <c r="X96" s="32">
        <f t="shared" si="20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1"/>
        <v>105</v>
      </c>
      <c r="AM96" s="117">
        <f t="shared" si="10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4536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>U97*(1+$N$96+$Q$15*S97/36500)</f>
        <v>219.31827287671234</v>
      </c>
      <c r="W97" s="32">
        <f t="shared" si="19"/>
        <v>223.7046383342466</v>
      </c>
      <c r="X97" s="32">
        <f t="shared" si="20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1"/>
        <v>101</v>
      </c>
      <c r="AM97" s="117">
        <f t="shared" si="10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>U98*(1+$N$96+$Q$15*S98/36500)</f>
        <v>205.39045479452054</v>
      </c>
      <c r="W98" s="32">
        <f t="shared" si="19"/>
        <v>209.49826389041095</v>
      </c>
      <c r="X98" s="32">
        <f t="shared" si="20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1"/>
        <v>98</v>
      </c>
      <c r="AM98" s="117">
        <f t="shared" si="10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>U99*(1+$N$96+$Q$15*S99/36500)</f>
        <v>197.32553424657539</v>
      </c>
      <c r="W99" s="32">
        <f t="shared" si="19"/>
        <v>201.27204493150691</v>
      </c>
      <c r="X99" s="32">
        <f t="shared" si="20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1"/>
        <v>97</v>
      </c>
      <c r="AM99" s="117">
        <f t="shared" si="10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s="194" t="s">
        <v>4535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>U100*(1+$N$96+$Q$15*S100/36500)</f>
        <v>210.82528876712334</v>
      </c>
      <c r="W100" s="32">
        <f t="shared" si="19"/>
        <v>215.04179454246582</v>
      </c>
      <c r="X100" s="32">
        <f t="shared" si="20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1"/>
        <v>92</v>
      </c>
      <c r="AM100" s="117">
        <f t="shared" si="10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M101" t="s">
        <v>4536</v>
      </c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>U101*(1+$N$96+$Q$15*S101/36500)</f>
        <v>445.82275068493152</v>
      </c>
      <c r="W101" s="32">
        <f t="shared" si="19"/>
        <v>454.73920569863014</v>
      </c>
      <c r="X101" s="32">
        <f t="shared" si="20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1"/>
        <v>91</v>
      </c>
      <c r="AM101" s="117">
        <f t="shared" si="10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M102" t="s">
        <v>4539</v>
      </c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>U102*(1+$N$96+$Q$15*S102/36500)</f>
        <v>188.12914849315069</v>
      </c>
      <c r="W102" s="32">
        <f t="shared" si="19"/>
        <v>191.89173146301371</v>
      </c>
      <c r="X102" s="32">
        <f t="shared" si="20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1"/>
        <v>91</v>
      </c>
      <c r="AM102" s="117">
        <f t="shared" si="10"/>
        <v>-191593311</v>
      </c>
      <c r="AN102" s="99"/>
      <c r="AO102" t="s">
        <v>25</v>
      </c>
    </row>
    <row r="103" spans="4:47">
      <c r="I103" s="96"/>
      <c r="J103" s="96"/>
      <c r="K103" s="96"/>
      <c r="M103" t="s">
        <v>4540</v>
      </c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>U103*(1+$N$96+$Q$15*S103/36500)</f>
        <v>185.95272328767126</v>
      </c>
      <c r="W103" s="32">
        <f t="shared" si="19"/>
        <v>189.67177775342469</v>
      </c>
      <c r="X103" s="32">
        <f t="shared" si="20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1"/>
        <v>90</v>
      </c>
      <c r="AM103" s="117">
        <f t="shared" si="10"/>
        <v>-497485620</v>
      </c>
      <c r="AN103" s="99"/>
    </row>
    <row r="104" spans="4:47">
      <c r="F104" s="96"/>
      <c r="G104" s="96"/>
      <c r="H104" s="96" t="s">
        <v>25</v>
      </c>
      <c r="I104" s="96"/>
      <c r="J104" s="96"/>
      <c r="K104" s="96"/>
      <c r="L104" s="96"/>
      <c r="M104" s="96"/>
      <c r="N104" s="96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>U104*(1+$N$96+$Q$15*S104/36500)</f>
        <v>183.88662356164383</v>
      </c>
      <c r="W104" s="32">
        <f t="shared" si="19"/>
        <v>187.5643560328767</v>
      </c>
      <c r="X104" s="32">
        <f t="shared" si="20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1"/>
        <v>90</v>
      </c>
      <c r="AM104" s="117">
        <f t="shared" si="10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L105" s="96"/>
      <c r="M105" s="96"/>
      <c r="N105" s="96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>U105*(1+$N$96+$Q$15*S105/36500)</f>
        <v>804.50397808219179</v>
      </c>
      <c r="W105" s="32">
        <f t="shared" si="19"/>
        <v>820.59405764383564</v>
      </c>
      <c r="X105" s="32">
        <f t="shared" si="20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1"/>
        <v>87</v>
      </c>
      <c r="AM105" s="117">
        <f t="shared" si="10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>U106*(1+$N$96+$Q$15*S106/36500)</f>
        <v>187.96821917808219</v>
      </c>
      <c r="W106" s="32">
        <f t="shared" si="19"/>
        <v>191.72758356164385</v>
      </c>
      <c r="X106" s="32">
        <f t="shared" si="20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1"/>
        <v>86</v>
      </c>
      <c r="AM106" s="117">
        <f t="shared" si="10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>U107*(1+$N$96+$Q$15*S107/36500)</f>
        <v>184.58927342465756</v>
      </c>
      <c r="W107" s="32">
        <f t="shared" si="19"/>
        <v>188.28105889315071</v>
      </c>
      <c r="X107" s="32">
        <f t="shared" si="20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1"/>
        <v>86</v>
      </c>
      <c r="AM107" s="117">
        <f t="shared" si="10"/>
        <v>344000000</v>
      </c>
      <c r="AN107" s="99"/>
    </row>
    <row r="108" spans="4:47">
      <c r="F108" s="96"/>
      <c r="G108" s="96"/>
      <c r="H108" s="96"/>
      <c r="I108" s="96"/>
      <c r="J108" s="96" t="s">
        <v>25</v>
      </c>
      <c r="K108" s="96"/>
      <c r="P108" s="115"/>
      <c r="Q108" s="169">
        <v>60508</v>
      </c>
      <c r="R108" s="168" t="s">
        <v>4624</v>
      </c>
      <c r="S108" s="168">
        <f>S107-3</f>
        <v>77</v>
      </c>
      <c r="T108" s="168" t="s">
        <v>4989</v>
      </c>
      <c r="U108" s="168">
        <v>1204.7</v>
      </c>
      <c r="V108" s="99">
        <f>U108*(1+$N$96+$Q$15*S108/36500)</f>
        <v>1289.3524536986301</v>
      </c>
      <c r="W108" s="32">
        <f t="shared" si="19"/>
        <v>1315.1395027726028</v>
      </c>
      <c r="X108" s="32">
        <f t="shared" si="20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1"/>
        <v>85</v>
      </c>
      <c r="AM108" s="117">
        <f t="shared" si="10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P109" s="128"/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>U109*(1+$N$96+$Q$15*S109/36500)</f>
        <v>183.8721271232877</v>
      </c>
      <c r="W109" s="32">
        <f t="shared" si="19"/>
        <v>187.54956966575347</v>
      </c>
      <c r="X109" s="32">
        <f t="shared" si="20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1"/>
        <v>83</v>
      </c>
      <c r="AM109" s="117">
        <f t="shared" si="10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P110" s="128"/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>U110*(1+$N$96+$Q$15*S110/36500)</f>
        <v>3642.6147156164388</v>
      </c>
      <c r="W110" s="32">
        <f t="shared" ref="W110:W165" si="22">V110*(1+$W$19/100)</f>
        <v>3715.4670099287678</v>
      </c>
      <c r="X110" s="32">
        <f t="shared" ref="X110:X165" si="23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1"/>
        <v>79</v>
      </c>
      <c r="AM110" s="117">
        <f t="shared" si="10"/>
        <v>-414113023</v>
      </c>
      <c r="AN110" s="99"/>
    </row>
    <row r="111" spans="4:47">
      <c r="F111" s="96"/>
      <c r="G111" s="96"/>
      <c r="H111" s="96"/>
      <c r="I111" s="96"/>
      <c r="J111" s="96"/>
      <c r="L111" s="96"/>
      <c r="M111" s="96"/>
      <c r="N111" s="96"/>
      <c r="P111" s="115"/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>U111*(1+$N$96+$Q$15*S111/36500)</f>
        <v>232.1887473972603</v>
      </c>
      <c r="W111" s="32">
        <f t="shared" si="22"/>
        <v>236.83252234520552</v>
      </c>
      <c r="X111" s="32">
        <f t="shared" si="23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1"/>
        <v>79</v>
      </c>
      <c r="AM111" s="117">
        <f t="shared" si="10"/>
        <v>1730100000</v>
      </c>
      <c r="AN111" s="99"/>
      <c r="AP111" t="s">
        <v>25</v>
      </c>
      <c r="AU111"/>
    </row>
    <row r="112" spans="4:47"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>U112*(1+$N$96+$Q$15*S112/36500)</f>
        <v>4813.2909150684936</v>
      </c>
      <c r="W112" s="32">
        <f t="shared" si="22"/>
        <v>4909.5567333698637</v>
      </c>
      <c r="X112" s="32">
        <f t="shared" si="23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1"/>
        <v>77</v>
      </c>
      <c r="AM112" s="117">
        <f t="shared" si="10"/>
        <v>-1155000000</v>
      </c>
      <c r="AN112" s="99"/>
      <c r="AO112" t="s">
        <v>25</v>
      </c>
    </row>
    <row r="113" spans="6:46"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>U113*(1+$N$96+$Q$15*S113/36500)</f>
        <v>3550.6557873972611</v>
      </c>
      <c r="W113" s="32">
        <f t="shared" si="22"/>
        <v>3621.6689031452065</v>
      </c>
      <c r="X113" s="32">
        <f t="shared" si="23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1"/>
        <v>77</v>
      </c>
      <c r="AM113" s="117">
        <f t="shared" si="10"/>
        <v>231000000</v>
      </c>
      <c r="AN113" s="99"/>
      <c r="AR113" s="96"/>
      <c r="AS113" s="96"/>
      <c r="AT113"/>
    </row>
    <row r="114" spans="6:46">
      <c r="F114" s="215" t="s">
        <v>4720</v>
      </c>
      <c r="G114" s="215" t="s">
        <v>941</v>
      </c>
      <c r="H114" s="215" t="s">
        <v>4699</v>
      </c>
      <c r="I114" s="215" t="s">
        <v>4698</v>
      </c>
      <c r="J114" s="32" t="s">
        <v>4541</v>
      </c>
      <c r="K114" s="215" t="s">
        <v>4687</v>
      </c>
      <c r="L114" s="32" t="s">
        <v>4689</v>
      </c>
      <c r="M114" s="32" t="s">
        <v>4657</v>
      </c>
      <c r="N114" s="215" t="s">
        <v>4658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>U114*(1+$N$96+$Q$15*S114/36500)</f>
        <v>5610.7479210958909</v>
      </c>
      <c r="W114" s="32">
        <f t="shared" si="22"/>
        <v>5722.9628795178087</v>
      </c>
      <c r="X114" s="32">
        <f t="shared" si="23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1"/>
        <v>76</v>
      </c>
      <c r="AM114" s="117">
        <f t="shared" si="10"/>
        <v>-159883936</v>
      </c>
      <c r="AN114" s="99"/>
    </row>
    <row r="115" spans="6:46">
      <c r="F115" s="200">
        <f>$L$126/G115</f>
        <v>29265.599116510217</v>
      </c>
      <c r="G115" s="200">
        <f>P63</f>
        <v>181.1</v>
      </c>
      <c r="H115" s="200" t="s">
        <v>4849</v>
      </c>
      <c r="I115" s="200" t="s">
        <v>4848</v>
      </c>
      <c r="J115" s="216" t="s">
        <v>4243</v>
      </c>
      <c r="K115" s="200">
        <v>61</v>
      </c>
      <c r="L115" s="217">
        <f>K115*$L$126</f>
        <v>323300000</v>
      </c>
      <c r="M115" s="217">
        <f>N21+N37+N63</f>
        <v>271377987.80000001</v>
      </c>
      <c r="N115" s="184">
        <f t="shared" ref="N115:N123" si="24">L115-M115</f>
        <v>51922012.199999988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>U115*(1+$N$96+$Q$15*S115/36500)</f>
        <v>397.28376986301373</v>
      </c>
      <c r="W115" s="32">
        <f t="shared" si="22"/>
        <v>405.22944526027402</v>
      </c>
      <c r="X115" s="32">
        <f t="shared" si="23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1"/>
        <v>76</v>
      </c>
      <c r="AM115" s="117">
        <f t="shared" si="10"/>
        <v>16720000</v>
      </c>
      <c r="AN115" s="99"/>
    </row>
    <row r="116" spans="6:46">
      <c r="F116" s="215">
        <f>$L$126/G116</f>
        <v>868.92368226903841</v>
      </c>
      <c r="G116" s="215">
        <f>P54</f>
        <v>6099.5</v>
      </c>
      <c r="H116" s="215" t="s">
        <v>4703</v>
      </c>
      <c r="I116" s="215" t="s">
        <v>4702</v>
      </c>
      <c r="J116" s="32" t="s">
        <v>4395</v>
      </c>
      <c r="K116" s="215">
        <v>34</v>
      </c>
      <c r="L116" s="1">
        <f>K116*$L$126</f>
        <v>180200000</v>
      </c>
      <c r="M116" s="1">
        <f>N28+N54+N31</f>
        <v>220271243.5</v>
      </c>
      <c r="N116" s="113">
        <f t="shared" si="24"/>
        <v>-40071243.5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>U116*(1+$N$96+$Q$15*S116/36500)</f>
        <v>5692.264767123288</v>
      </c>
      <c r="W116" s="32">
        <f t="shared" si="22"/>
        <v>5806.1100624657538</v>
      </c>
      <c r="X116" s="32">
        <f t="shared" si="23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1"/>
        <v>73</v>
      </c>
      <c r="AM116" s="117">
        <f t="shared" si="10"/>
        <v>292000000</v>
      </c>
      <c r="AN116" s="99"/>
    </row>
    <row r="117" spans="6:46">
      <c r="F117" s="200">
        <f>$L$126/G117</f>
        <v>1414.3516665332372</v>
      </c>
      <c r="G117" s="200">
        <f>P50</f>
        <v>3747.3</v>
      </c>
      <c r="H117" s="200" t="s">
        <v>3881</v>
      </c>
      <c r="I117" s="200" t="s">
        <v>4704</v>
      </c>
      <c r="J117" s="216" t="s">
        <v>4391</v>
      </c>
      <c r="K117" s="200">
        <v>34</v>
      </c>
      <c r="L117" s="217">
        <f>K117*$L$126</f>
        <v>180200000</v>
      </c>
      <c r="M117" s="217">
        <f>N50+N33+N22</f>
        <v>219801628.80000001</v>
      </c>
      <c r="N117" s="184">
        <f t="shared" si="24"/>
        <v>-39601628.800000012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>U117*(1+$N$96+$Q$15*S117/36500)</f>
        <v>532.8087978082192</v>
      </c>
      <c r="W117" s="32">
        <f t="shared" si="22"/>
        <v>543.46497376438356</v>
      </c>
      <c r="X117" s="32">
        <f t="shared" si="23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1"/>
        <v>72</v>
      </c>
      <c r="AM117" s="117">
        <f t="shared" si="10"/>
        <v>-648000000</v>
      </c>
      <c r="AN117" s="99"/>
      <c r="AP117" t="s">
        <v>25</v>
      </c>
      <c r="AQ117" t="s">
        <v>25</v>
      </c>
    </row>
    <row r="118" spans="6:46">
      <c r="F118" s="215">
        <f>$L$126/G118</f>
        <v>8258.0243066375824</v>
      </c>
      <c r="G118" s="215">
        <f>P56</f>
        <v>641.79999999999995</v>
      </c>
      <c r="H118" s="215" t="s">
        <v>4701</v>
      </c>
      <c r="I118" s="215" t="s">
        <v>4700</v>
      </c>
      <c r="J118" s="32" t="s">
        <v>4410</v>
      </c>
      <c r="K118" s="215">
        <v>34</v>
      </c>
      <c r="L118" s="1">
        <f>K118*$L$126</f>
        <v>180200000</v>
      </c>
      <c r="M118" s="1">
        <f>N56+N24+N34</f>
        <v>167975105</v>
      </c>
      <c r="N118" s="113">
        <f t="shared" si="24"/>
        <v>12224895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>U118*(1+$N$96+$Q$15*S118/36500)</f>
        <v>773.50656000000004</v>
      </c>
      <c r="W118" s="32">
        <f t="shared" si="22"/>
        <v>788.9766912</v>
      </c>
      <c r="X118" s="32">
        <f t="shared" si="23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1"/>
        <v>72</v>
      </c>
      <c r="AM118" s="117">
        <f t="shared" si="10"/>
        <v>1000800000</v>
      </c>
      <c r="AN118" s="99"/>
    </row>
    <row r="119" spans="6:46">
      <c r="F119" s="200">
        <f>$L$126/G119</f>
        <v>930.90244844908148</v>
      </c>
      <c r="G119" s="200">
        <f>P58</f>
        <v>5693.4</v>
      </c>
      <c r="H119" s="200" t="s">
        <v>4705</v>
      </c>
      <c r="I119" s="200" t="s">
        <v>4704</v>
      </c>
      <c r="J119" s="216" t="s">
        <v>4537</v>
      </c>
      <c r="K119" s="200">
        <v>7</v>
      </c>
      <c r="L119" s="217">
        <f>K119*$L$126</f>
        <v>37100000</v>
      </c>
      <c r="M119" s="217">
        <f>N58</f>
        <v>16584874.199999999</v>
      </c>
      <c r="N119" s="184">
        <f t="shared" si="24"/>
        <v>20515125.800000001</v>
      </c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>U119*(1+$N$96+$Q$15*S119/36500)</f>
        <v>5756.0499200000013</v>
      </c>
      <c r="W119" s="32">
        <f t="shared" si="22"/>
        <v>5871.170918400001</v>
      </c>
      <c r="X119" s="32">
        <f t="shared" si="23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1"/>
        <v>70</v>
      </c>
      <c r="AM119" s="117">
        <f t="shared" si="10"/>
        <v>-568930390</v>
      </c>
      <c r="AN119" s="99"/>
      <c r="AO119" t="s">
        <v>25</v>
      </c>
    </row>
    <row r="120" spans="6:46">
      <c r="F120" s="215">
        <f>$L$126/G120</f>
        <v>1194.0433009664991</v>
      </c>
      <c r="G120" s="215">
        <f>P57</f>
        <v>4438.7</v>
      </c>
      <c r="H120" s="215" t="s">
        <v>4706</v>
      </c>
      <c r="I120" s="215" t="s">
        <v>4707</v>
      </c>
      <c r="J120" s="32" t="s">
        <v>4538</v>
      </c>
      <c r="K120" s="215">
        <v>34</v>
      </c>
      <c r="L120" s="1">
        <f>K120*$L$126</f>
        <v>180200000</v>
      </c>
      <c r="M120" s="1">
        <f>N57+N25</f>
        <v>124758540.90000001</v>
      </c>
      <c r="N120" s="113">
        <f t="shared" si="24"/>
        <v>55441459.099999994</v>
      </c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>U120*(1+$N$96+$Q$15*S120/36500)</f>
        <v>5671.543614246576</v>
      </c>
      <c r="W120" s="32">
        <f t="shared" si="22"/>
        <v>5784.9744865315079</v>
      </c>
      <c r="X120" s="32">
        <f t="shared" si="23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1"/>
        <v>69</v>
      </c>
      <c r="AM120" s="117">
        <f t="shared" si="10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31">
        <v>35433</v>
      </c>
      <c r="I121" s="200" t="s">
        <v>4702</v>
      </c>
      <c r="J121" s="216" t="s">
        <v>4614</v>
      </c>
      <c r="K121" s="200">
        <v>2</v>
      </c>
      <c r="L121" s="217">
        <f>K121*$L$126</f>
        <v>10600000</v>
      </c>
      <c r="M121" s="217">
        <f>N59</f>
        <v>4382940</v>
      </c>
      <c r="N121" s="113">
        <f t="shared" si="24"/>
        <v>6217060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>U121*(1+$N$96+$Q$15*S121/36500)</f>
        <v>4153.8500865753431</v>
      </c>
      <c r="W121" s="32">
        <f t="shared" si="22"/>
        <v>4236.9270883068502</v>
      </c>
      <c r="X121" s="32">
        <f t="shared" si="23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25">AL122+AK121</f>
        <v>66</v>
      </c>
      <c r="AM121" s="117">
        <f t="shared" ref="AM121:AM152" si="26">AJ121*AL121</f>
        <v>580800000</v>
      </c>
      <c r="AN121" s="99"/>
      <c r="AP121" t="s">
        <v>25</v>
      </c>
    </row>
    <row r="122" spans="6:46" ht="45">
      <c r="F122" s="215"/>
      <c r="G122" s="215"/>
      <c r="H122" s="215" t="s">
        <v>3881</v>
      </c>
      <c r="I122" s="215" t="s">
        <v>4847</v>
      </c>
      <c r="J122" s="32" t="s">
        <v>4296</v>
      </c>
      <c r="K122" s="215">
        <v>4</v>
      </c>
      <c r="L122" s="1">
        <f>K122*$L$126</f>
        <v>21200000</v>
      </c>
      <c r="M122" s="1">
        <f>N60</f>
        <v>2451748.7999999998</v>
      </c>
      <c r="N122" s="113">
        <f t="shared" si="24"/>
        <v>18748251.199999999</v>
      </c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>U122*(1+$N$96+$Q$15*S122/36500)</f>
        <v>5511.6691397260274</v>
      </c>
      <c r="W122" s="32">
        <f t="shared" si="22"/>
        <v>5621.9025225205478</v>
      </c>
      <c r="X122" s="32">
        <f t="shared" si="23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25"/>
        <v>66</v>
      </c>
      <c r="AM122" s="79">
        <f t="shared" si="26"/>
        <v>862726392</v>
      </c>
      <c r="AN122" s="207" t="s">
        <v>4625</v>
      </c>
    </row>
    <row r="123" spans="6:46">
      <c r="F123" s="200"/>
      <c r="G123" s="200"/>
      <c r="H123" s="200"/>
      <c r="I123" s="200"/>
      <c r="J123" s="216" t="s">
        <v>4670</v>
      </c>
      <c r="K123" s="200">
        <v>1</v>
      </c>
      <c r="L123" s="217">
        <f>K123*$L$126</f>
        <v>5300000</v>
      </c>
      <c r="M123" s="217">
        <f>N51+N53+N62+N61</f>
        <v>2464011.2000000002</v>
      </c>
      <c r="N123" s="184">
        <f t="shared" si="24"/>
        <v>2835988.8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>U123*(1+$N$96+$Q$15*S123/36500)</f>
        <v>5107.3391342465757</v>
      </c>
      <c r="W123" s="32">
        <f t="shared" si="22"/>
        <v>5209.4859169315068</v>
      </c>
      <c r="X123" s="32">
        <f t="shared" si="23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25"/>
        <v>65</v>
      </c>
      <c r="AM123" s="90">
        <f t="shared" si="26"/>
        <v>1087257405</v>
      </c>
      <c r="AN123" s="89" t="s">
        <v>4639</v>
      </c>
    </row>
    <row r="124" spans="6:46">
      <c r="F124" s="215"/>
      <c r="G124" s="215"/>
      <c r="H124" s="215"/>
      <c r="I124" s="215"/>
      <c r="J124" s="32" t="s">
        <v>4819</v>
      </c>
      <c r="K124" s="215"/>
      <c r="L124" s="1"/>
      <c r="M124" s="1"/>
      <c r="N124" s="113">
        <v>50000000</v>
      </c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>U124*(1+$N$96+$Q$15*S124/36500)</f>
        <v>3958.9056000000005</v>
      </c>
      <c r="W124" s="32">
        <f t="shared" si="22"/>
        <v>4038.0837120000006</v>
      </c>
      <c r="X124" s="32">
        <f t="shared" si="23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25"/>
        <v>65</v>
      </c>
      <c r="AM124" s="117">
        <f t="shared" si="26"/>
        <v>780000000</v>
      </c>
      <c r="AN124" s="99" t="s">
        <v>4640</v>
      </c>
      <c r="AQ124" t="s">
        <v>25</v>
      </c>
    </row>
    <row r="125" spans="6:46">
      <c r="F125" s="200"/>
      <c r="G125" s="200"/>
      <c r="H125" s="200"/>
      <c r="I125" s="200"/>
      <c r="J125" s="216" t="s">
        <v>4958</v>
      </c>
      <c r="K125" s="200">
        <f>SUM(K115:K123)</f>
        <v>211</v>
      </c>
      <c r="L125" s="217"/>
      <c r="M125" s="217"/>
      <c r="N125" s="184"/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>U125*(1+$N$96+$Q$15*S125/36500)</f>
        <v>369.25254794520549</v>
      </c>
      <c r="W125" s="32">
        <f t="shared" si="22"/>
        <v>376.63759890410961</v>
      </c>
      <c r="X125" s="32">
        <f t="shared" si="23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25"/>
        <v>64</v>
      </c>
      <c r="AM125" s="90">
        <f t="shared" si="26"/>
        <v>5676650688</v>
      </c>
      <c r="AN125" s="89" t="s">
        <v>4641</v>
      </c>
      <c r="AP125" t="s">
        <v>25</v>
      </c>
    </row>
    <row r="126" spans="6:46">
      <c r="F126" s="215"/>
      <c r="G126" s="215"/>
      <c r="H126" s="215" t="s">
        <v>25</v>
      </c>
      <c r="I126" s="215"/>
      <c r="J126" s="32"/>
      <c r="K126" s="215">
        <v>8</v>
      </c>
      <c r="L126" s="39">
        <f>10*P65</f>
        <v>5300000</v>
      </c>
      <c r="M126" s="1">
        <f>K126*L126</f>
        <v>42400000</v>
      </c>
      <c r="N126" s="113">
        <f>SUM(N115:N124)-M126</f>
        <v>95831919.799999952</v>
      </c>
      <c r="P126" s="114"/>
      <c r="Q126" s="169">
        <v>177438</v>
      </c>
      <c r="R126" s="212" t="s">
        <v>4685</v>
      </c>
      <c r="S126" s="212">
        <f t="shared" ref="S126:S129" si="27">S125</f>
        <v>67</v>
      </c>
      <c r="T126" s="212" t="s">
        <v>4692</v>
      </c>
      <c r="U126" s="212">
        <v>207.3</v>
      </c>
      <c r="V126" s="99">
        <f>U126*(1+$N$96+$Q$15*S126/36500)</f>
        <v>220.27641205479455</v>
      </c>
      <c r="W126" s="32">
        <f t="shared" si="22"/>
        <v>224.68194029589046</v>
      </c>
      <c r="X126" s="32">
        <f t="shared" si="23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26"/>
        <v>6363000</v>
      </c>
      <c r="AN126" s="99"/>
    </row>
    <row r="127" spans="6:46">
      <c r="F127" s="200"/>
      <c r="G127" s="200"/>
      <c r="H127" s="200"/>
      <c r="I127" s="200"/>
      <c r="J127" s="216"/>
      <c r="K127" s="248" t="s">
        <v>4984</v>
      </c>
      <c r="L127" s="217" t="s">
        <v>4253</v>
      </c>
      <c r="M127" s="217" t="s">
        <v>4679</v>
      </c>
      <c r="N127" s="184" t="s">
        <v>4680</v>
      </c>
      <c r="Q127" s="35">
        <v>559461</v>
      </c>
      <c r="R127" s="5" t="s">
        <v>4685</v>
      </c>
      <c r="S127" s="5">
        <f t="shared" si="27"/>
        <v>67</v>
      </c>
      <c r="T127" s="5" t="s">
        <v>4693</v>
      </c>
      <c r="U127" s="212">
        <v>508.1</v>
      </c>
      <c r="V127" s="99">
        <f>U127*(1+$N$96+$Q$15*S127/36500)</f>
        <v>539.90566794520555</v>
      </c>
      <c r="W127" s="32">
        <f t="shared" si="22"/>
        <v>550.70378130410973</v>
      </c>
      <c r="X127" s="32">
        <f t="shared" si="23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52" si="28">AL128+AK127</f>
        <v>63</v>
      </c>
      <c r="AM127" s="189">
        <f t="shared" si="26"/>
        <v>-3036600</v>
      </c>
      <c r="AN127" s="149" t="s">
        <v>4649</v>
      </c>
    </row>
    <row r="128" spans="6:46">
      <c r="F128" s="215"/>
      <c r="G128" s="215"/>
      <c r="H128" s="215"/>
      <c r="I128" s="215"/>
      <c r="J128" s="32" t="s">
        <v>4688</v>
      </c>
      <c r="K128" s="215"/>
      <c r="L128" s="1"/>
      <c r="M128" s="1"/>
      <c r="N128" s="113"/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>U128*(1+$N$96+$Q$15*S128/36500)</f>
        <v>3383.4159364383563</v>
      </c>
      <c r="W128" s="32">
        <f t="shared" si="22"/>
        <v>3451.0842551671235</v>
      </c>
      <c r="X128" s="32">
        <f t="shared" si="23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28"/>
        <v>63</v>
      </c>
      <c r="AM128" s="189">
        <f t="shared" si="26"/>
        <v>2477619459</v>
      </c>
      <c r="AN128" s="89" t="s">
        <v>4650</v>
      </c>
    </row>
    <row r="129" spans="6:44">
      <c r="M129" t="s">
        <v>25</v>
      </c>
      <c r="Q129" s="169">
        <v>128675</v>
      </c>
      <c r="R129" s="212" t="s">
        <v>4685</v>
      </c>
      <c r="S129" s="212">
        <f t="shared" si="27"/>
        <v>67</v>
      </c>
      <c r="T129" s="212" t="s">
        <v>4695</v>
      </c>
      <c r="U129" s="212">
        <v>699.9</v>
      </c>
      <c r="V129" s="99">
        <f>U129*(1+$N$96+$Q$15*S129/36500)</f>
        <v>743.71182246575336</v>
      </c>
      <c r="W129" s="32">
        <f t="shared" si="22"/>
        <v>758.58605891506841</v>
      </c>
      <c r="X129" s="32">
        <f t="shared" si="23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28"/>
        <v>59</v>
      </c>
      <c r="AM129" s="90">
        <f t="shared" si="26"/>
        <v>516193950</v>
      </c>
      <c r="AN129" s="89" t="s">
        <v>4669</v>
      </c>
      <c r="AQ129" t="s">
        <v>25</v>
      </c>
    </row>
    <row r="130" spans="6:44">
      <c r="P130" s="114"/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>U130*(1+$N$96+$Q$15*S130/36500)</f>
        <v>3377.1507506849316</v>
      </c>
      <c r="W130" s="32">
        <f t="shared" si="22"/>
        <v>3444.6937656986302</v>
      </c>
      <c r="X130" s="32">
        <f t="shared" si="23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28"/>
        <v>58</v>
      </c>
      <c r="AM130" s="117">
        <f t="shared" si="26"/>
        <v>3480000</v>
      </c>
      <c r="AN130" s="99" t="s">
        <v>4672</v>
      </c>
    </row>
    <row r="131" spans="6:44">
      <c r="F131" s="215"/>
      <c r="G131" s="215"/>
      <c r="H131" s="215"/>
      <c r="I131" s="215"/>
      <c r="J131" s="215" t="s">
        <v>4813</v>
      </c>
      <c r="K131" s="168" t="s">
        <v>4541</v>
      </c>
      <c r="L131" s="168" t="s">
        <v>4542</v>
      </c>
      <c r="M131" s="168" t="s">
        <v>4436</v>
      </c>
      <c r="N131" s="56" t="s">
        <v>190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>U131*(1+$N$96+$Q$15*S131/36500)</f>
        <v>534.4191079452055</v>
      </c>
      <c r="W131" s="32">
        <f t="shared" si="22"/>
        <v>545.10749010410962</v>
      </c>
      <c r="X131" s="32">
        <f t="shared" si="23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28"/>
        <v>57</v>
      </c>
      <c r="AM131" s="117">
        <f t="shared" si="26"/>
        <v>270750000</v>
      </c>
      <c r="AN131" s="20"/>
    </row>
    <row r="132" spans="6:44">
      <c r="F132" s="215" t="s">
        <v>4363</v>
      </c>
      <c r="G132" s="215" t="s">
        <v>941</v>
      </c>
      <c r="H132" s="215" t="s">
        <v>4541</v>
      </c>
      <c r="I132" s="215" t="s">
        <v>937</v>
      </c>
      <c r="J132" s="215" t="s">
        <v>4814</v>
      </c>
      <c r="K132" s="168" t="s">
        <v>4243</v>
      </c>
      <c r="L132" s="169">
        <v>1100000</v>
      </c>
      <c r="M132" s="169">
        <v>1637000</v>
      </c>
      <c r="N132" s="168">
        <f t="shared" ref="N132:N140" si="29">(M132-L132)*100/L132</f>
        <v>48.81818181818182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>U132*(1+$N$96+$Q$15*S132/36500)</f>
        <v>531.88344109589048</v>
      </c>
      <c r="W132" s="32">
        <f t="shared" si="22"/>
        <v>542.5211099178083</v>
      </c>
      <c r="X132" s="32">
        <f t="shared" si="23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28"/>
        <v>57</v>
      </c>
      <c r="AM132" s="90">
        <f t="shared" si="26"/>
        <v>746766120</v>
      </c>
      <c r="AN132" s="89" t="s">
        <v>4686</v>
      </c>
      <c r="AQ132" t="s">
        <v>25</v>
      </c>
    </row>
    <row r="133" spans="6:44">
      <c r="F133" s="1">
        <v>3307.5</v>
      </c>
      <c r="G133" s="1">
        <f>P50</f>
        <v>3747.3</v>
      </c>
      <c r="H133" s="215" t="s">
        <v>4391</v>
      </c>
      <c r="I133" s="215">
        <v>3761</v>
      </c>
      <c r="J133" s="1">
        <f>I133*G133</f>
        <v>14093595.300000001</v>
      </c>
      <c r="K133" s="5" t="s">
        <v>4536</v>
      </c>
      <c r="L133" s="169">
        <v>1100000</v>
      </c>
      <c r="M133" s="169">
        <v>4748000</v>
      </c>
      <c r="N133" s="168">
        <f t="shared" si="29"/>
        <v>331.63636363636363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>U133*(1+$N$96+$Q$15*S133/36500)</f>
        <v>510.00548383561642</v>
      </c>
      <c r="W133" s="32">
        <f t="shared" si="22"/>
        <v>520.20559351232873</v>
      </c>
      <c r="X133" s="32">
        <f t="shared" si="23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28"/>
        <v>56</v>
      </c>
      <c r="AM133" s="117">
        <f t="shared" si="26"/>
        <v>-54880000</v>
      </c>
      <c r="AN133" s="20"/>
    </row>
    <row r="134" spans="6:44">
      <c r="F134" s="1">
        <v>5249.5</v>
      </c>
      <c r="G134" s="1">
        <f>P54</f>
        <v>6099.5</v>
      </c>
      <c r="H134" s="215" t="s">
        <v>4395</v>
      </c>
      <c r="I134" s="215">
        <v>7163</v>
      </c>
      <c r="J134" s="1">
        <f>I134*G134</f>
        <v>43690718.5</v>
      </c>
      <c r="K134" s="5" t="s">
        <v>4537</v>
      </c>
      <c r="L134" s="169">
        <v>1100000</v>
      </c>
      <c r="M134" s="169">
        <v>5137000</v>
      </c>
      <c r="N134" s="168">
        <f t="shared" si="29"/>
        <v>367</v>
      </c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>U134*(1+$N$96+$Q$15*S134/36500)</f>
        <v>3296.6051265753426</v>
      </c>
      <c r="W134" s="32">
        <f t="shared" si="22"/>
        <v>3362.5372291068497</v>
      </c>
      <c r="X134" s="32">
        <f t="shared" si="23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28"/>
        <v>56</v>
      </c>
      <c r="AM134" s="90">
        <f t="shared" si="26"/>
        <v>744900240</v>
      </c>
      <c r="AN134" s="89" t="s">
        <v>4686</v>
      </c>
    </row>
    <row r="135" spans="6:44">
      <c r="F135" s="1">
        <v>519.79999999999995</v>
      </c>
      <c r="G135" s="1">
        <f>P56</f>
        <v>641.79999999999995</v>
      </c>
      <c r="H135" s="215" t="s">
        <v>4410</v>
      </c>
      <c r="I135" s="215">
        <v>0</v>
      </c>
      <c r="J135" s="1">
        <f>I135*G135</f>
        <v>0</v>
      </c>
      <c r="K135" s="19" t="s">
        <v>4391</v>
      </c>
      <c r="L135" s="169">
        <v>1100000</v>
      </c>
      <c r="M135" s="169">
        <v>4300000</v>
      </c>
      <c r="N135" s="168">
        <f t="shared" si="29"/>
        <v>290.90909090909093</v>
      </c>
      <c r="P135" s="114"/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>U135*(1+$N$96+$Q$15*S135/36500)</f>
        <v>188.42882410958904</v>
      </c>
      <c r="W135" s="32">
        <f t="shared" si="22"/>
        <v>192.19740059178082</v>
      </c>
      <c r="X135" s="32">
        <f t="shared" si="23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28"/>
        <v>56</v>
      </c>
      <c r="AM135" s="117">
        <f t="shared" si="26"/>
        <v>22624000</v>
      </c>
      <c r="AN135" s="20" t="s">
        <v>4697</v>
      </c>
    </row>
    <row r="136" spans="6:44">
      <c r="F136" s="1">
        <v>4051</v>
      </c>
      <c r="G136" s="1">
        <f>P57</f>
        <v>4438.7</v>
      </c>
      <c r="H136" s="215" t="s">
        <v>4538</v>
      </c>
      <c r="I136" s="215">
        <v>130</v>
      </c>
      <c r="J136" s="1">
        <f>I136*G136</f>
        <v>577031</v>
      </c>
      <c r="K136" s="5" t="s">
        <v>4410</v>
      </c>
      <c r="L136" s="169">
        <v>1100000</v>
      </c>
      <c r="M136" s="169">
        <v>3191000</v>
      </c>
      <c r="N136" s="168">
        <f t="shared" si="29"/>
        <v>190.09090909090909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>U136*(1+$N$96+$Q$15*S136/36500)</f>
        <v>3282.3214356164385</v>
      </c>
      <c r="W136" s="32">
        <f t="shared" si="22"/>
        <v>3347.9678643287675</v>
      </c>
      <c r="X136" s="32">
        <f t="shared" si="23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28"/>
        <v>51</v>
      </c>
      <c r="AM136" s="90">
        <f t="shared" si="26"/>
        <v>218873028</v>
      </c>
      <c r="AN136" s="89" t="s">
        <v>4724</v>
      </c>
    </row>
    <row r="137" spans="6:44">
      <c r="F137" s="215"/>
      <c r="G137" s="215"/>
      <c r="H137" s="215"/>
      <c r="I137" s="215"/>
      <c r="J137" s="1">
        <f>SUM(J133:J136)</f>
        <v>58361344.799999997</v>
      </c>
      <c r="K137" s="5" t="s">
        <v>4538</v>
      </c>
      <c r="L137" s="169">
        <v>1100000</v>
      </c>
      <c r="M137" s="169">
        <v>5623000</v>
      </c>
      <c r="N137" s="168">
        <f t="shared" si="29"/>
        <v>411.18181818181819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>U137*(1+$N$96+$Q$15*S137/36500)</f>
        <v>3271.4137950684931</v>
      </c>
      <c r="W137" s="32">
        <f t="shared" si="22"/>
        <v>3336.842070969863</v>
      </c>
      <c r="X137" s="32">
        <f t="shared" si="23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28"/>
        <v>49</v>
      </c>
      <c r="AM137" s="117">
        <f t="shared" si="26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6</v>
      </c>
      <c r="K138" s="19" t="s">
        <v>4395</v>
      </c>
      <c r="L138" s="169">
        <v>1100000</v>
      </c>
      <c r="M138" s="169">
        <v>7728000</v>
      </c>
      <c r="N138" s="168">
        <f t="shared" si="29"/>
        <v>602.5454545454545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>U138*(1+$N$96+$Q$15*S138/36500)</f>
        <v>512.85784109589042</v>
      </c>
      <c r="W138" s="32">
        <f t="shared" si="22"/>
        <v>523.1149979178083</v>
      </c>
      <c r="X138" s="32">
        <f t="shared" si="23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28"/>
        <v>44</v>
      </c>
      <c r="AM138" s="79">
        <f t="shared" si="26"/>
        <v>384536196</v>
      </c>
      <c r="AN138" s="121" t="s">
        <v>4669</v>
      </c>
    </row>
    <row r="139" spans="6:44">
      <c r="K139" s="5" t="s">
        <v>4540</v>
      </c>
      <c r="L139" s="169">
        <v>1100000</v>
      </c>
      <c r="M139" s="169">
        <v>2904000</v>
      </c>
      <c r="N139" s="168">
        <f t="shared" si="29"/>
        <v>164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>U139*(1+$N$96+$Q$15*S139/36500)</f>
        <v>3241.3583145205484</v>
      </c>
      <c r="W139" s="32">
        <f t="shared" si="22"/>
        <v>3306.1854808109597</v>
      </c>
      <c r="X139" s="32">
        <f t="shared" si="23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28"/>
        <v>42</v>
      </c>
      <c r="AM139" s="79">
        <f t="shared" si="26"/>
        <v>739001676</v>
      </c>
      <c r="AN139" s="121" t="s">
        <v>4742</v>
      </c>
    </row>
    <row r="140" spans="6:44">
      <c r="K140" s="56" t="s">
        <v>1086</v>
      </c>
      <c r="L140" s="169">
        <v>1100000</v>
      </c>
      <c r="M140" s="169">
        <v>3400000</v>
      </c>
      <c r="N140" s="168">
        <f t="shared" si="29"/>
        <v>209.09090909090909</v>
      </c>
      <c r="P140" s="114"/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>U140*(1+$N$96+$Q$15*S140/36500)</f>
        <v>4856.2252076712339</v>
      </c>
      <c r="W140" s="32">
        <f t="shared" si="22"/>
        <v>4953.3497118246587</v>
      </c>
      <c r="X140" s="32">
        <f t="shared" si="23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28"/>
        <v>41</v>
      </c>
      <c r="AM140" s="79">
        <f t="shared" si="26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215" t="s">
        <v>4968</v>
      </c>
      <c r="K141" s="246" t="s">
        <v>4569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>U141*(1+$N$96+$Q$15*S141/36500)</f>
        <v>4045.5452712328774</v>
      </c>
      <c r="W141" s="32">
        <f t="shared" si="22"/>
        <v>4126.4561766575353</v>
      </c>
      <c r="X141" s="32">
        <f t="shared" si="23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28"/>
        <v>28</v>
      </c>
      <c r="AM141" s="230">
        <f t="shared" si="26"/>
        <v>1400000000</v>
      </c>
      <c r="AN141" s="161" t="s">
        <v>4815</v>
      </c>
      <c r="AP141" t="s">
        <v>25</v>
      </c>
    </row>
    <row r="142" spans="6:44">
      <c r="F142" s="215" t="s">
        <v>4363</v>
      </c>
      <c r="G142" s="215" t="s">
        <v>941</v>
      </c>
      <c r="H142" s="215" t="s">
        <v>4541</v>
      </c>
      <c r="I142" s="215" t="s">
        <v>937</v>
      </c>
      <c r="J142" s="215" t="s">
        <v>4814</v>
      </c>
      <c r="K142" s="246" t="s">
        <v>4570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>U142*(1+$N$96+$Q$15*S142/36500)</f>
        <v>3270.2739726027398</v>
      </c>
      <c r="W142" s="32">
        <f t="shared" si="22"/>
        <v>3335.6794520547946</v>
      </c>
      <c r="X142" s="32">
        <f t="shared" si="23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28"/>
        <v>17</v>
      </c>
      <c r="AM142" s="117">
        <f t="shared" si="26"/>
        <v>510000</v>
      </c>
      <c r="AN142" s="20"/>
    </row>
    <row r="143" spans="6:44">
      <c r="F143" s="1">
        <v>3775.1</v>
      </c>
      <c r="G143" s="1">
        <f>P50</f>
        <v>3747.3</v>
      </c>
      <c r="H143" s="215" t="s">
        <v>4391</v>
      </c>
      <c r="I143" s="215">
        <v>1000</v>
      </c>
      <c r="J143" s="1">
        <f>I143*G143</f>
        <v>3747300</v>
      </c>
      <c r="K143" s="246" t="s">
        <v>4571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>U143*(1+$N$96+$Q$15*S143/36500)</f>
        <v>3443.4971506849315</v>
      </c>
      <c r="W143" s="32">
        <f t="shared" si="22"/>
        <v>3512.36709369863</v>
      </c>
      <c r="X143" s="32">
        <f t="shared" si="23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28"/>
        <v>14</v>
      </c>
      <c r="AM143" s="117">
        <f t="shared" si="26"/>
        <v>8400000</v>
      </c>
      <c r="AN143" s="20"/>
      <c r="AR143" t="s">
        <v>25</v>
      </c>
    </row>
    <row r="144" spans="6:44">
      <c r="F144" s="1">
        <v>6250.1</v>
      </c>
      <c r="G144" s="1">
        <f>P54</f>
        <v>6099.5</v>
      </c>
      <c r="H144" s="215" t="s">
        <v>4969</v>
      </c>
      <c r="I144" s="215">
        <v>1000</v>
      </c>
      <c r="J144" s="1">
        <f t="shared" ref="J144:J146" si="30">I144*G144</f>
        <v>6099500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>U144*(1+$N$96+$Q$15*S144/36500)</f>
        <v>5465.3479342465753</v>
      </c>
      <c r="W144" s="32">
        <f t="shared" si="22"/>
        <v>5574.6548929315068</v>
      </c>
      <c r="X144" s="32">
        <f t="shared" si="23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26"/>
        <v>390000</v>
      </c>
      <c r="AN144" s="20"/>
    </row>
    <row r="145" spans="6:44">
      <c r="F145" s="1">
        <v>183</v>
      </c>
      <c r="G145" s="1">
        <f>P63</f>
        <v>181.1</v>
      </c>
      <c r="H145" s="215" t="s">
        <v>4243</v>
      </c>
      <c r="I145" s="215">
        <v>108344</v>
      </c>
      <c r="J145" s="1">
        <f t="shared" si="30"/>
        <v>19621098.399999999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>U145*(1+$N$96+$Q$15*S145/36500)</f>
        <v>4217.5682410958907</v>
      </c>
      <c r="W145" s="32">
        <f t="shared" si="22"/>
        <v>4301.9196059178084</v>
      </c>
      <c r="X145" s="32">
        <f t="shared" si="23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2</v>
      </c>
      <c r="AM145" s="117">
        <f t="shared" ref="AM145:AM147" si="31">AJ145*AL145</f>
        <v>4500000</v>
      </c>
      <c r="AN145" s="20"/>
    </row>
    <row r="146" spans="6:44">
      <c r="F146" s="1">
        <v>4485.1000000000004</v>
      </c>
      <c r="G146" s="1">
        <f>P57</f>
        <v>4438.7</v>
      </c>
      <c r="H146" s="215" t="s">
        <v>4538</v>
      </c>
      <c r="I146" s="215">
        <v>3</v>
      </c>
      <c r="J146" s="1">
        <f t="shared" si="30"/>
        <v>13316.099999999999</v>
      </c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>U146*(1+$N$96+$Q$15*S146/36500)</f>
        <v>5446.2358356164386</v>
      </c>
      <c r="W146" s="32">
        <f t="shared" si="22"/>
        <v>5555.1605523287672</v>
      </c>
      <c r="X146" s="32">
        <f t="shared" si="23"/>
        <v>5664.0852690410966</v>
      </c>
      <c r="AH146" s="23">
        <v>126</v>
      </c>
      <c r="AI146" s="35" t="s">
        <v>4915</v>
      </c>
      <c r="AJ146" s="35">
        <v>-31412200</v>
      </c>
      <c r="AK146" s="23">
        <v>1</v>
      </c>
      <c r="AL146" s="23">
        <f>AL152+AK146</f>
        <v>1</v>
      </c>
      <c r="AM146" s="35">
        <f t="shared" si="31"/>
        <v>-31412200</v>
      </c>
      <c r="AN146" s="23" t="s">
        <v>4893</v>
      </c>
    </row>
    <row r="147" spans="6:44">
      <c r="F147" s="215"/>
      <c r="G147" s="215"/>
      <c r="H147" s="215"/>
      <c r="I147" s="215"/>
      <c r="J147" s="1">
        <f>SUM(J143:J146)</f>
        <v>29481214.5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>U147*(1+$N$96+$Q$15*S147/36500)</f>
        <v>556.40379616438372</v>
      </c>
      <c r="W147" s="32">
        <f t="shared" si="22"/>
        <v>567.53187208767145</v>
      </c>
      <c r="X147" s="32">
        <f t="shared" si="23"/>
        <v>578.65994801095906</v>
      </c>
      <c r="Y147" s="96"/>
      <c r="Z147" s="96"/>
      <c r="AH147" s="20">
        <v>127</v>
      </c>
      <c r="AI147" s="117" t="s">
        <v>4926</v>
      </c>
      <c r="AJ147" s="117">
        <v>70000</v>
      </c>
      <c r="AK147" s="20">
        <v>9</v>
      </c>
      <c r="AL147" s="20">
        <f>AL153+AK147</f>
        <v>9</v>
      </c>
      <c r="AM147" s="117">
        <f t="shared" si="31"/>
        <v>630000</v>
      </c>
      <c r="AN147" s="20"/>
    </row>
    <row r="148" spans="6:44">
      <c r="F148" s="215"/>
      <c r="G148" s="215"/>
      <c r="H148" s="215"/>
      <c r="I148" s="215"/>
      <c r="J148" s="215" t="s">
        <v>6</v>
      </c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>U148*(1+$N$96+$Q$15*S148/36500)</f>
        <v>306.97531178082198</v>
      </c>
      <c r="W148" s="32">
        <f t="shared" si="22"/>
        <v>313.11481801643845</v>
      </c>
      <c r="X148" s="32">
        <f t="shared" si="23"/>
        <v>319.25432425205486</v>
      </c>
      <c r="Y148" s="96"/>
      <c r="Z148" s="96"/>
      <c r="AH148" s="99">
        <v>128</v>
      </c>
      <c r="AI148" s="113" t="s">
        <v>4941</v>
      </c>
      <c r="AJ148" s="113">
        <v>20000</v>
      </c>
      <c r="AK148" s="99">
        <v>10</v>
      </c>
      <c r="AL148" s="20">
        <f t="shared" ref="AL148:AL151" si="32">AL154+AK148</f>
        <v>10</v>
      </c>
      <c r="AM148" s="117">
        <f t="shared" ref="AM148:AM151" si="33">AJ148*AL148</f>
        <v>200000</v>
      </c>
      <c r="AN148" s="20"/>
      <c r="AP148" t="s">
        <v>25</v>
      </c>
      <c r="AR148" t="s">
        <v>25</v>
      </c>
    </row>
    <row r="149" spans="6:44">
      <c r="M149">
        <v>236</v>
      </c>
      <c r="N149">
        <v>4</v>
      </c>
      <c r="O149">
        <f>M149*N149</f>
        <v>944</v>
      </c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>U149*(1+$N$96+$Q$15*S149/36500)</f>
        <v>304.6404383561644</v>
      </c>
      <c r="W149" s="32">
        <f t="shared" si="22"/>
        <v>310.7332471232877</v>
      </c>
      <c r="X149" s="32">
        <f t="shared" si="23"/>
        <v>316.826055890411</v>
      </c>
      <c r="Y149" s="96"/>
      <c r="Z149" s="96"/>
      <c r="AH149" s="99">
        <v>129</v>
      </c>
      <c r="AI149" s="113" t="s">
        <v>4970</v>
      </c>
      <c r="AJ149" s="113">
        <v>1000000</v>
      </c>
      <c r="AK149" s="99">
        <v>1</v>
      </c>
      <c r="AL149" s="20">
        <f t="shared" si="32"/>
        <v>1</v>
      </c>
      <c r="AM149" s="117">
        <f t="shared" si="33"/>
        <v>1000000</v>
      </c>
      <c r="AN149" s="20"/>
    </row>
    <row r="150" spans="6:44">
      <c r="M150">
        <v>126</v>
      </c>
      <c r="N150">
        <v>0</v>
      </c>
      <c r="O150">
        <f>M150*N150</f>
        <v>0</v>
      </c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>U150*(1+$N$96+$Q$15*S150/36500)</f>
        <v>5522.1950334246576</v>
      </c>
      <c r="W150" s="32">
        <f t="shared" si="22"/>
        <v>5632.638934093151</v>
      </c>
      <c r="X150" s="32">
        <f t="shared" si="23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4972</v>
      </c>
      <c r="AJ150" s="113">
        <v>65630227</v>
      </c>
      <c r="AK150" s="99">
        <v>0</v>
      </c>
      <c r="AL150" s="20">
        <f t="shared" si="32"/>
        <v>0</v>
      </c>
      <c r="AM150" s="117">
        <f t="shared" si="33"/>
        <v>0</v>
      </c>
      <c r="AN150" s="20" t="s">
        <v>4977</v>
      </c>
      <c r="AP150" t="s">
        <v>25</v>
      </c>
    </row>
    <row r="151" spans="6:44">
      <c r="L151">
        <v>821</v>
      </c>
      <c r="M151">
        <v>590</v>
      </c>
      <c r="N151">
        <v>0</v>
      </c>
      <c r="O151" s="96">
        <f>M151*N151</f>
        <v>0</v>
      </c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>U151*(1+$N$96+$Q$15*S151/36500)</f>
        <v>314.16227726027398</v>
      </c>
      <c r="W151" s="32">
        <f t="shared" si="22"/>
        <v>320.44552280547947</v>
      </c>
      <c r="X151" s="32">
        <f t="shared" si="23"/>
        <v>326.72876835068496</v>
      </c>
      <c r="Y151" s="96"/>
      <c r="Z151" s="96"/>
      <c r="AA151" s="114"/>
      <c r="AC151" s="114"/>
      <c r="AH151" s="99">
        <v>131</v>
      </c>
      <c r="AI151" s="113" t="s">
        <v>4972</v>
      </c>
      <c r="AJ151" s="113">
        <v>-3500000</v>
      </c>
      <c r="AK151" s="99">
        <v>1</v>
      </c>
      <c r="AL151" s="20">
        <f t="shared" si="32"/>
        <v>1</v>
      </c>
      <c r="AM151" s="117">
        <f t="shared" si="33"/>
        <v>-3500000</v>
      </c>
      <c r="AN151" s="20" t="s">
        <v>4976</v>
      </c>
    </row>
    <row r="152" spans="6:44">
      <c r="Q152" s="169">
        <v>62110</v>
      </c>
      <c r="R152" s="168" t="s">
        <v>4906</v>
      </c>
      <c r="S152" s="168">
        <f>S151-4</f>
        <v>21</v>
      </c>
      <c r="T152" s="168" t="s">
        <v>4911</v>
      </c>
      <c r="U152" s="168">
        <v>270</v>
      </c>
      <c r="V152" s="99">
        <f>U152*(1+$N$96+$Q$15*S152/36500)</f>
        <v>277.3735890410959</v>
      </c>
      <c r="W152" s="32">
        <f t="shared" si="22"/>
        <v>282.92106082191782</v>
      </c>
      <c r="X152" s="32">
        <f t="shared" si="23"/>
        <v>288.46853260273974</v>
      </c>
      <c r="Y152" s="96"/>
      <c r="Z152" s="96"/>
      <c r="AA152" s="114"/>
      <c r="AC152" s="114"/>
      <c r="AD152" s="114"/>
      <c r="AH152" s="99"/>
      <c r="AI152" s="113"/>
      <c r="AJ152" s="113"/>
      <c r="AK152" s="99"/>
      <c r="AL152" s="99">
        <f t="shared" si="28"/>
        <v>0</v>
      </c>
      <c r="AM152" s="117">
        <f t="shared" si="26"/>
        <v>0</v>
      </c>
      <c r="AN152" s="99"/>
    </row>
    <row r="153" spans="6:44">
      <c r="J153" t="s">
        <v>25</v>
      </c>
      <c r="O153">
        <f>O149+O150+O151</f>
        <v>944</v>
      </c>
      <c r="Q153" s="169">
        <v>101344</v>
      </c>
      <c r="R153" s="215" t="s">
        <v>4915</v>
      </c>
      <c r="S153" s="215">
        <f>S152-1</f>
        <v>20</v>
      </c>
      <c r="T153" s="215" t="s">
        <v>4918</v>
      </c>
      <c r="U153" s="215">
        <v>113.6</v>
      </c>
      <c r="V153" s="99">
        <f>U153*(1+$N$96+$Q$15*S153/36500)</f>
        <v>116.61522410958905</v>
      </c>
      <c r="W153" s="32">
        <f t="shared" si="22"/>
        <v>118.94752859178084</v>
      </c>
      <c r="X153" s="32">
        <f t="shared" si="23"/>
        <v>121.27983307397261</v>
      </c>
      <c r="Y153" s="96"/>
      <c r="Z153" s="96"/>
      <c r="AH153" s="99"/>
      <c r="AI153" s="99"/>
      <c r="AJ153" s="95">
        <f>SUM(AJ20:AJ152)</f>
        <v>574044113</v>
      </c>
      <c r="AK153" s="99"/>
      <c r="AL153" s="99"/>
      <c r="AM153" s="95">
        <f>SUM(AM20:AM152)</f>
        <v>64709822117</v>
      </c>
      <c r="AN153" s="95">
        <f>AM153*AN156/31</f>
        <v>34790922.749162547</v>
      </c>
    </row>
    <row r="154" spans="6:44">
      <c r="Q154" s="169">
        <v>2148718</v>
      </c>
      <c r="R154" s="215" t="s">
        <v>4915</v>
      </c>
      <c r="S154" s="215">
        <f>S153</f>
        <v>20</v>
      </c>
      <c r="T154" s="215" t="s">
        <v>4919</v>
      </c>
      <c r="U154" s="215">
        <v>3400.3</v>
      </c>
      <c r="V154" s="99">
        <f>U154*(1+$N$96+$Q$15*S154/36500)</f>
        <v>3490.5523463013706</v>
      </c>
      <c r="W154" s="32">
        <f t="shared" si="22"/>
        <v>3560.3633932273979</v>
      </c>
      <c r="X154" s="32">
        <f t="shared" si="23"/>
        <v>3630.1744401534256</v>
      </c>
      <c r="Y154" s="96"/>
      <c r="Z154" s="96"/>
      <c r="AH154" s="99"/>
      <c r="AI154" s="99"/>
      <c r="AJ154" s="99" t="s">
        <v>4059</v>
      </c>
      <c r="AK154" s="99"/>
      <c r="AL154" s="99"/>
      <c r="AM154" s="99" t="s">
        <v>284</v>
      </c>
      <c r="AN154" s="99" t="s">
        <v>943</v>
      </c>
    </row>
    <row r="155" spans="6:44">
      <c r="Q155" s="169">
        <v>48217</v>
      </c>
      <c r="R155" s="215" t="s">
        <v>4926</v>
      </c>
      <c r="S155" s="215">
        <f>S154-1</f>
        <v>19</v>
      </c>
      <c r="T155" s="215" t="s">
        <v>4933</v>
      </c>
      <c r="U155" s="215">
        <v>400</v>
      </c>
      <c r="V155" s="99">
        <f>U155*(1+$N$96+$Q$15*S155/36500)</f>
        <v>410.31013698630136</v>
      </c>
      <c r="W155" s="32">
        <f t="shared" si="22"/>
        <v>418.51633972602741</v>
      </c>
      <c r="X155" s="32">
        <f t="shared" si="23"/>
        <v>426.72254246575341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>
        <v>119669</v>
      </c>
      <c r="R156" s="215" t="s">
        <v>981</v>
      </c>
      <c r="S156" s="215">
        <f>S155-1</f>
        <v>18</v>
      </c>
      <c r="T156" s="215" t="s">
        <v>4937</v>
      </c>
      <c r="U156" s="215">
        <v>3609.6</v>
      </c>
      <c r="V156" s="99">
        <f>U156*(1+$N$96+$Q$15*S156/36500)</f>
        <v>3699.8696679452055</v>
      </c>
      <c r="W156" s="32">
        <f t="shared" si="22"/>
        <v>3773.8670613041095</v>
      </c>
      <c r="X156" s="32">
        <f t="shared" si="23"/>
        <v>3847.8644546630139</v>
      </c>
      <c r="Y156" s="96"/>
      <c r="Z156" s="96"/>
      <c r="AH156" s="99"/>
      <c r="AI156" s="99"/>
      <c r="AJ156" s="99"/>
      <c r="AK156" s="99"/>
      <c r="AL156" s="99"/>
      <c r="AM156" s="99" t="s">
        <v>4060</v>
      </c>
      <c r="AN156" s="99">
        <v>1.6667000000000001E-2</v>
      </c>
    </row>
    <row r="157" spans="6:44">
      <c r="Q157" s="169">
        <v>102362</v>
      </c>
      <c r="R157" s="215" t="s">
        <v>4941</v>
      </c>
      <c r="S157" s="215">
        <f>S156-8</f>
        <v>10</v>
      </c>
      <c r="T157" s="215" t="s">
        <v>4944</v>
      </c>
      <c r="U157" s="215">
        <v>4430</v>
      </c>
      <c r="V157" s="99">
        <f>U157*(1+$N$96+$Q$15*S157/36500)</f>
        <v>4513.5995616438358</v>
      </c>
      <c r="W157" s="32">
        <f t="shared" si="22"/>
        <v>4603.8715528767125</v>
      </c>
      <c r="X157" s="32">
        <f t="shared" si="23"/>
        <v>4694.1435441095891</v>
      </c>
      <c r="Y157" s="96"/>
      <c r="Z157" s="96"/>
      <c r="AH157" s="99"/>
      <c r="AI157" s="99"/>
      <c r="AJ157" s="99"/>
      <c r="AK157" s="99"/>
      <c r="AL157" s="99"/>
      <c r="AM157" s="99"/>
      <c r="AN157" s="99"/>
    </row>
    <row r="158" spans="6:44">
      <c r="P158" s="114"/>
      <c r="Q158" s="169">
        <v>996877</v>
      </c>
      <c r="R158" s="215" t="s">
        <v>4970</v>
      </c>
      <c r="S158" s="215">
        <f>S157-10</f>
        <v>0</v>
      </c>
      <c r="T158" s="215" t="s">
        <v>4971</v>
      </c>
      <c r="U158" s="215">
        <v>4469.7</v>
      </c>
      <c r="V158" s="99">
        <f>U158*(1+$N$96+$Q$15*S158/36500)</f>
        <v>4519.7606400000004</v>
      </c>
      <c r="W158" s="32">
        <f t="shared" si="22"/>
        <v>4610.1558528000005</v>
      </c>
      <c r="X158" s="32">
        <f t="shared" si="23"/>
        <v>4700.5510656000006</v>
      </c>
      <c r="Y158" s="96"/>
      <c r="Z158" s="96"/>
      <c r="AH158" s="99"/>
      <c r="AI158" s="99" t="s">
        <v>4061</v>
      </c>
      <c r="AJ158" s="95">
        <f>AJ153+AN153</f>
        <v>608835035.74916255</v>
      </c>
      <c r="AK158" s="99"/>
      <c r="AL158" s="99"/>
      <c r="AM158" s="99"/>
      <c r="AN158" s="99"/>
    </row>
    <row r="159" spans="6:44">
      <c r="Q159" s="169">
        <v>17086367</v>
      </c>
      <c r="R159" s="215" t="s">
        <v>4972</v>
      </c>
      <c r="S159" s="215">
        <f>S158-1</f>
        <v>-1</v>
      </c>
      <c r="T159" s="215" t="s">
        <v>4980</v>
      </c>
      <c r="U159" s="215">
        <v>3751.1</v>
      </c>
      <c r="V159" s="99">
        <f>U159*(1+$N$96+$Q$15*S159/36500)</f>
        <v>3790.2347638356168</v>
      </c>
      <c r="W159" s="32">
        <f t="shared" si="22"/>
        <v>3866.039459112329</v>
      </c>
      <c r="X159" s="32">
        <f t="shared" si="23"/>
        <v>3941.8441543890417</v>
      </c>
      <c r="Y159" s="96"/>
      <c r="Z159" s="96"/>
      <c r="AI159" t="s">
        <v>4064</v>
      </c>
      <c r="AJ159" s="114">
        <f>SUM(N48:N65)</f>
        <v>684681989.5</v>
      </c>
    </row>
    <row r="160" spans="6:44">
      <c r="Q160" s="169">
        <v>26970108</v>
      </c>
      <c r="R160" s="215" t="s">
        <v>4972</v>
      </c>
      <c r="S160" s="215">
        <f>S159</f>
        <v>-1</v>
      </c>
      <c r="T160" s="215" t="s">
        <v>4981</v>
      </c>
      <c r="U160" s="215">
        <v>6110.2</v>
      </c>
      <c r="V160" s="99">
        <f>U160*(1+$N$96+$Q$15*S160/36500)</f>
        <v>6173.9469632876726</v>
      </c>
      <c r="W160" s="32">
        <f t="shared" si="22"/>
        <v>6297.4259025534266</v>
      </c>
      <c r="X160" s="32">
        <f t="shared" si="23"/>
        <v>6420.9048418191796</v>
      </c>
      <c r="Y160" t="s">
        <v>25</v>
      </c>
      <c r="AI160" t="s">
        <v>4136</v>
      </c>
      <c r="AJ160" s="114">
        <f>AJ159-AJ153</f>
        <v>110637876.5</v>
      </c>
      <c r="AM160" t="s">
        <v>25</v>
      </c>
    </row>
    <row r="161" spans="6:40">
      <c r="Q161" s="169">
        <v>27144082</v>
      </c>
      <c r="R161" s="215" t="s">
        <v>4972</v>
      </c>
      <c r="S161" s="215">
        <f>S160</f>
        <v>-1</v>
      </c>
      <c r="T161" s="215" t="s">
        <v>4982</v>
      </c>
      <c r="U161" s="215">
        <v>4568.6000000000004</v>
      </c>
      <c r="V161" s="99">
        <f>U161*(1+$N$96+$Q$15*S161/36500)</f>
        <v>4616.2636405479461</v>
      </c>
      <c r="W161" s="32">
        <f t="shared" si="22"/>
        <v>4708.5889133589053</v>
      </c>
      <c r="X161" s="32">
        <f t="shared" si="23"/>
        <v>4800.9141861698645</v>
      </c>
      <c r="AI161" t="s">
        <v>943</v>
      </c>
      <c r="AJ161" s="114">
        <f>AN153</f>
        <v>34790922.749162547</v>
      </c>
      <c r="AN161" t="s">
        <v>25</v>
      </c>
    </row>
    <row r="162" spans="6:40">
      <c r="Q162" s="169">
        <v>6150141</v>
      </c>
      <c r="R162" s="215" t="s">
        <v>4972</v>
      </c>
      <c r="S162" s="215">
        <f>S161</f>
        <v>-1</v>
      </c>
      <c r="T162" s="215" t="s">
        <v>4983</v>
      </c>
      <c r="U162" s="215">
        <v>180.6</v>
      </c>
      <c r="V162" s="99">
        <f>U162*(1+$N$96+$Q$15*S162/36500)</f>
        <v>182.48417753424661</v>
      </c>
      <c r="W162" s="32">
        <f t="shared" si="22"/>
        <v>186.13386108493154</v>
      </c>
      <c r="X162" s="32">
        <f t="shared" si="23"/>
        <v>189.78354463561649</v>
      </c>
      <c r="AI162" t="s">
        <v>4065</v>
      </c>
      <c r="AJ162" s="114">
        <f>AJ159-AJ158</f>
        <v>75846953.750837445</v>
      </c>
      <c r="AN162" t="s">
        <v>25</v>
      </c>
    </row>
    <row r="163" spans="6:40">
      <c r="P163" s="114"/>
      <c r="Q163" s="169">
        <v>1664165</v>
      </c>
      <c r="R163" s="215" t="s">
        <v>4986</v>
      </c>
      <c r="S163" s="215">
        <f>S162-1</f>
        <v>-2</v>
      </c>
      <c r="T163" s="215" t="s">
        <v>4990</v>
      </c>
      <c r="U163" s="215">
        <v>4429.1000000000004</v>
      </c>
      <c r="V163" s="99">
        <f>U163*(1+$N$96+$Q$15*S163/36500)</f>
        <v>4471.9105884931514</v>
      </c>
      <c r="W163" s="32">
        <f t="shared" si="22"/>
        <v>4561.3488002630147</v>
      </c>
      <c r="X163" s="32">
        <f t="shared" si="23"/>
        <v>4650.787012032878</v>
      </c>
      <c r="AM163" t="s">
        <v>25</v>
      </c>
    </row>
    <row r="164" spans="6:40">
      <c r="Q164" s="169"/>
      <c r="R164" s="215"/>
      <c r="S164" s="215"/>
      <c r="T164" s="215"/>
      <c r="U164" s="215"/>
      <c r="V164" s="99"/>
      <c r="W164" s="32"/>
      <c r="X164" s="32"/>
      <c r="AJ164" t="s">
        <v>25</v>
      </c>
    </row>
    <row r="165" spans="6:40">
      <c r="Q165" s="169"/>
      <c r="R165" s="168"/>
      <c r="S165" s="168"/>
      <c r="T165" s="168"/>
      <c r="U165" s="168"/>
      <c r="V165" s="99">
        <f>U165*(1+$N$96+$Q$15*S165/36500)</f>
        <v>0</v>
      </c>
      <c r="W165" s="32">
        <f t="shared" si="22"/>
        <v>0</v>
      </c>
      <c r="X165" s="32">
        <f t="shared" si="23"/>
        <v>0</v>
      </c>
    </row>
    <row r="166" spans="6:40">
      <c r="O166" s="96">
        <v>68796</v>
      </c>
      <c r="P166" s="114"/>
      <c r="Q166" s="113">
        <f>SUM(N50:N65)-SUM(Q88:Q165)</f>
        <v>43475966.5</v>
      </c>
      <c r="R166" s="112"/>
      <c r="S166" s="112"/>
      <c r="T166" s="112"/>
      <c r="U166" s="168"/>
      <c r="V166" s="99" t="s">
        <v>25</v>
      </c>
      <c r="W166" s="32"/>
      <c r="X166" s="32"/>
    </row>
    <row r="167" spans="6:40">
      <c r="O167" s="96">
        <v>154791</v>
      </c>
      <c r="P167">
        <f>R177-11923</f>
        <v>1644958</v>
      </c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</row>
    <row r="169" spans="6:40">
      <c r="F169" t="s">
        <v>4894</v>
      </c>
      <c r="G169">
        <v>1200</v>
      </c>
      <c r="H169" t="s">
        <v>4895</v>
      </c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 t="s">
        <v>3641</v>
      </c>
      <c r="AI169" s="99" t="s">
        <v>180</v>
      </c>
      <c r="AJ169" s="99" t="s">
        <v>267</v>
      </c>
      <c r="AK169" s="99" t="s">
        <v>4058</v>
      </c>
      <c r="AL169" s="99" t="s">
        <v>4050</v>
      </c>
      <c r="AM169" s="99" t="s">
        <v>282</v>
      </c>
      <c r="AN169" s="99" t="s">
        <v>4293</v>
      </c>
    </row>
    <row r="170" spans="6:40">
      <c r="G170">
        <v>1350</v>
      </c>
      <c r="H170" t="s">
        <v>4896</v>
      </c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>
        <v>1</v>
      </c>
      <c r="AI170" s="99" t="s">
        <v>3949</v>
      </c>
      <c r="AJ170" s="117">
        <v>3555820</v>
      </c>
      <c r="AK170" s="99">
        <v>2</v>
      </c>
      <c r="AL170" s="99">
        <f>AK170+AL171</f>
        <v>255</v>
      </c>
      <c r="AM170" s="99">
        <f>AJ170*AL170</f>
        <v>906734100</v>
      </c>
      <c r="AN170" s="99" t="s">
        <v>4313</v>
      </c>
    </row>
    <row r="171" spans="6:40">
      <c r="G171">
        <v>1050</v>
      </c>
      <c r="H171" t="s">
        <v>4897</v>
      </c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H171" s="99">
        <v>2</v>
      </c>
      <c r="AI171" s="99" t="s">
        <v>4024</v>
      </c>
      <c r="AJ171" s="117">
        <v>1720837</v>
      </c>
      <c r="AK171" s="99">
        <v>51</v>
      </c>
      <c r="AL171" s="99">
        <f t="shared" ref="AL171:AL180" si="34">AK171+AL172</f>
        <v>253</v>
      </c>
      <c r="AM171" s="99">
        <f t="shared" ref="AM171:AM199" si="35">AJ171*AL171</f>
        <v>435371761</v>
      </c>
      <c r="AN171" s="99" t="s">
        <v>4314</v>
      </c>
    </row>
    <row r="172" spans="6:40">
      <c r="P172" s="114"/>
      <c r="V172" s="96"/>
      <c r="W172"/>
      <c r="AH172" s="99">
        <v>3</v>
      </c>
      <c r="AI172" s="99" t="s">
        <v>4130</v>
      </c>
      <c r="AJ172" s="117">
        <v>150000</v>
      </c>
      <c r="AK172" s="99">
        <v>3</v>
      </c>
      <c r="AL172" s="99">
        <f t="shared" si="34"/>
        <v>202</v>
      </c>
      <c r="AM172" s="99">
        <f t="shared" si="35"/>
        <v>30300000</v>
      </c>
      <c r="AN172" s="99"/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AH173" s="99">
        <v>4</v>
      </c>
      <c r="AI173" s="99" t="s">
        <v>4145</v>
      </c>
      <c r="AJ173" s="117">
        <v>-95000</v>
      </c>
      <c r="AK173" s="99">
        <v>8</v>
      </c>
      <c r="AL173" s="99">
        <f t="shared" si="34"/>
        <v>199</v>
      </c>
      <c r="AM173" s="99">
        <f t="shared" si="35"/>
        <v>-18905000</v>
      </c>
      <c r="AN173" s="99"/>
    </row>
    <row r="174" spans="6:40"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H174" s="99">
        <v>5</v>
      </c>
      <c r="AI174" s="99" t="s">
        <v>4172</v>
      </c>
      <c r="AJ174" s="117">
        <v>3150000</v>
      </c>
      <c r="AK174" s="99">
        <v>16</v>
      </c>
      <c r="AL174" s="99">
        <f t="shared" si="34"/>
        <v>191</v>
      </c>
      <c r="AM174" s="99">
        <f t="shared" si="35"/>
        <v>601650000</v>
      </c>
      <c r="AN174" s="99"/>
    </row>
    <row r="175" spans="6:40"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H175" s="99">
        <v>6</v>
      </c>
      <c r="AI175" s="99" t="s">
        <v>4241</v>
      </c>
      <c r="AJ175" s="117">
        <v>-65000</v>
      </c>
      <c r="AK175" s="99">
        <v>1</v>
      </c>
      <c r="AL175" s="99">
        <f t="shared" si="34"/>
        <v>175</v>
      </c>
      <c r="AM175" s="99">
        <f t="shared" si="35"/>
        <v>-11375000</v>
      </c>
      <c r="AN175" s="99"/>
    </row>
    <row r="176" spans="6:40">
      <c r="Q176" s="168" t="s">
        <v>751</v>
      </c>
      <c r="R176" s="56">
        <v>1722368</v>
      </c>
      <c r="S176" s="113">
        <f>R176*$T$255</f>
        <v>504007596.65486771</v>
      </c>
      <c r="T176" s="168"/>
      <c r="U176" s="168">
        <f>$Q$174*$T$174*S176/$R$200</f>
        <v>366.06810387481698</v>
      </c>
      <c r="V176" s="95">
        <f>S176+U176</f>
        <v>504007962.72297156</v>
      </c>
      <c r="W176" s="99">
        <f>R176*100/U252</f>
        <v>48.809080516642268</v>
      </c>
      <c r="X176" s="219"/>
      <c r="AH176" s="99">
        <v>7</v>
      </c>
      <c r="AI176" s="99" t="s">
        <v>4315</v>
      </c>
      <c r="AJ176" s="117">
        <v>-95000</v>
      </c>
      <c r="AK176" s="99">
        <v>6</v>
      </c>
      <c r="AL176" s="99">
        <f t="shared" si="34"/>
        <v>174</v>
      </c>
      <c r="AM176" s="99">
        <f t="shared" si="35"/>
        <v>-16530000</v>
      </c>
      <c r="AN176" s="99"/>
    </row>
    <row r="177" spans="16:44">
      <c r="P177" s="114"/>
      <c r="Q177" s="168" t="s">
        <v>4452</v>
      </c>
      <c r="R177" s="56">
        <v>1656881</v>
      </c>
      <c r="S177" s="113">
        <f>R177*$T$255</f>
        <v>484844476.18227571</v>
      </c>
      <c r="T177" s="168"/>
      <c r="U177" s="215">
        <f>$Q$174*$T$174*S177/$R$200</f>
        <v>352.14964863270257</v>
      </c>
      <c r="V177" s="95">
        <f t="shared" ref="V177:V178" si="36">S177+U177</f>
        <v>484844828.33192432</v>
      </c>
      <c r="W177" s="99">
        <f>R177*100/U252</f>
        <v>46.953286484360341</v>
      </c>
      <c r="X177" s="115"/>
      <c r="AH177" s="99">
        <v>8</v>
      </c>
      <c r="AI177" s="99" t="s">
        <v>4316</v>
      </c>
      <c r="AJ177" s="117">
        <v>232000</v>
      </c>
      <c r="AK177" s="99">
        <v>7</v>
      </c>
      <c r="AL177" s="99">
        <f t="shared" si="34"/>
        <v>168</v>
      </c>
      <c r="AM177" s="99">
        <f t="shared" si="35"/>
        <v>38976000</v>
      </c>
      <c r="AN177" s="99"/>
    </row>
    <row r="178" spans="16:44">
      <c r="Q178" s="168" t="s">
        <v>4451</v>
      </c>
      <c r="R178" s="56">
        <v>47604</v>
      </c>
      <c r="S178" s="113">
        <f>R178*$T$255</f>
        <v>13930111.120944144</v>
      </c>
      <c r="T178" s="168"/>
      <c r="U178" s="215">
        <f>$Q$174*$T$174*S178/$R$200</f>
        <v>10.11764385825607</v>
      </c>
      <c r="V178" s="95">
        <f t="shared" si="36"/>
        <v>13930121.238588002</v>
      </c>
      <c r="W178" s="99">
        <f>R178*100/U252</f>
        <v>1.3490191811008092</v>
      </c>
      <c r="X178" s="115"/>
      <c r="AH178" s="99">
        <v>9</v>
      </c>
      <c r="AI178" s="99" t="s">
        <v>4292</v>
      </c>
      <c r="AJ178" s="117">
        <v>13000000</v>
      </c>
      <c r="AK178" s="99">
        <v>2</v>
      </c>
      <c r="AL178" s="99">
        <f t="shared" si="34"/>
        <v>161</v>
      </c>
      <c r="AM178" s="99">
        <f t="shared" si="35"/>
        <v>2093000000</v>
      </c>
      <c r="AN178" s="99"/>
    </row>
    <row r="179" spans="16:44">
      <c r="P179" s="114"/>
      <c r="Q179" s="168" t="s">
        <v>1087</v>
      </c>
      <c r="R179" s="56">
        <v>101933</v>
      </c>
      <c r="S179" s="113">
        <f>R179*$T$255</f>
        <v>29828124.041912433</v>
      </c>
      <c r="T179" s="168"/>
      <c r="U179" s="215">
        <f>$Q$174*$T$174*S179/$R$200</f>
        <v>21.664603634224349</v>
      </c>
      <c r="V179" s="95">
        <f>S179+U179</f>
        <v>29828145.706516068</v>
      </c>
      <c r="W179" s="99">
        <f>R179*100/U252</f>
        <v>2.8886138178965797</v>
      </c>
      <c r="X179" s="115"/>
      <c r="AH179" s="99">
        <v>10</v>
      </c>
      <c r="AI179" s="99" t="s">
        <v>4317</v>
      </c>
      <c r="AJ179" s="117">
        <v>10000000</v>
      </c>
      <c r="AK179" s="99">
        <v>3</v>
      </c>
      <c r="AL179" s="99">
        <f t="shared" si="34"/>
        <v>159</v>
      </c>
      <c r="AM179" s="99">
        <f t="shared" si="35"/>
        <v>1590000000</v>
      </c>
      <c r="AN179" s="99"/>
    </row>
    <row r="180" spans="16:44">
      <c r="P180" s="114"/>
      <c r="Q180" s="168"/>
      <c r="R180" s="56"/>
      <c r="S180" s="168"/>
      <c r="T180" s="168"/>
      <c r="U180" s="168"/>
      <c r="V180" s="168"/>
      <c r="W180" s="99"/>
      <c r="X180" s="96"/>
      <c r="AH180" s="99">
        <v>11</v>
      </c>
      <c r="AI180" s="99" t="s">
        <v>4305</v>
      </c>
      <c r="AJ180" s="117">
        <v>3400000</v>
      </c>
      <c r="AK180" s="99">
        <v>9</v>
      </c>
      <c r="AL180" s="99">
        <f t="shared" si="34"/>
        <v>156</v>
      </c>
      <c r="AM180" s="99">
        <f t="shared" si="35"/>
        <v>530400000</v>
      </c>
      <c r="AN180" s="99"/>
    </row>
    <row r="181" spans="16:44">
      <c r="Q181" s="168"/>
      <c r="R181" s="168"/>
      <c r="S181" s="168"/>
      <c r="T181" s="168"/>
      <c r="U181" s="168"/>
      <c r="V181" s="168"/>
      <c r="W181" s="99"/>
      <c r="X181" s="96"/>
      <c r="AH181" s="99">
        <v>12</v>
      </c>
      <c r="AI181" s="99" t="s">
        <v>4347</v>
      </c>
      <c r="AJ181" s="117">
        <v>-8736514</v>
      </c>
      <c r="AK181" s="99">
        <v>1</v>
      </c>
      <c r="AL181" s="99">
        <f>AK181+AL182</f>
        <v>147</v>
      </c>
      <c r="AM181" s="99">
        <f t="shared" si="35"/>
        <v>-1284267558</v>
      </c>
      <c r="AN181" s="99"/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13</v>
      </c>
      <c r="AI182" s="99" t="s">
        <v>4348</v>
      </c>
      <c r="AJ182" s="117">
        <v>555000</v>
      </c>
      <c r="AK182" s="99">
        <v>5</v>
      </c>
      <c r="AL182" s="99">
        <f t="shared" ref="AL182:AL198" si="37">AK182+AL183</f>
        <v>146</v>
      </c>
      <c r="AM182" s="99">
        <f t="shared" si="35"/>
        <v>81030000</v>
      </c>
      <c r="AN182" s="99"/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14</v>
      </c>
      <c r="AI183" s="99" t="s">
        <v>4372</v>
      </c>
      <c r="AJ183" s="117">
        <v>-448308</v>
      </c>
      <c r="AK183" s="99">
        <v>6</v>
      </c>
      <c r="AL183" s="99">
        <f t="shared" si="37"/>
        <v>141</v>
      </c>
      <c r="AM183" s="99">
        <f t="shared" si="35"/>
        <v>-63211428</v>
      </c>
      <c r="AN183" s="99"/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15</v>
      </c>
      <c r="AI184" s="99" t="s">
        <v>4404</v>
      </c>
      <c r="AJ184" s="117">
        <v>33225</v>
      </c>
      <c r="AK184" s="99">
        <v>0</v>
      </c>
      <c r="AL184" s="99">
        <f t="shared" si="37"/>
        <v>135</v>
      </c>
      <c r="AM184" s="99">
        <f t="shared" si="35"/>
        <v>4485375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149">
        <v>16</v>
      </c>
      <c r="AI185" s="149" t="s">
        <v>4404</v>
      </c>
      <c r="AJ185" s="189">
        <v>4098523</v>
      </c>
      <c r="AK185" s="149">
        <v>2</v>
      </c>
      <c r="AL185" s="149">
        <f t="shared" si="37"/>
        <v>135</v>
      </c>
      <c r="AM185" s="149">
        <f t="shared" si="35"/>
        <v>553300605</v>
      </c>
      <c r="AN185" s="149" t="s">
        <v>657</v>
      </c>
    </row>
    <row r="186" spans="16:44">
      <c r="Q186" s="96"/>
      <c r="R186" s="96"/>
      <c r="S186" s="96"/>
      <c r="T186" s="96"/>
      <c r="V186" s="96"/>
      <c r="AH186" s="149">
        <v>17</v>
      </c>
      <c r="AI186" s="149" t="s">
        <v>4417</v>
      </c>
      <c r="AJ186" s="189">
        <v>-1000000</v>
      </c>
      <c r="AK186" s="149">
        <v>7</v>
      </c>
      <c r="AL186" s="149">
        <f t="shared" si="37"/>
        <v>133</v>
      </c>
      <c r="AM186" s="149">
        <f t="shared" si="35"/>
        <v>-133000000</v>
      </c>
      <c r="AN186" s="149" t="s">
        <v>657</v>
      </c>
    </row>
    <row r="187" spans="16:44">
      <c r="P187" s="114"/>
      <c r="Q187" s="96"/>
      <c r="R187" s="96"/>
      <c r="S187" s="96"/>
      <c r="T187" s="96" t="s">
        <v>25</v>
      </c>
      <c r="V187" s="96"/>
      <c r="Z187" t="s">
        <v>25</v>
      </c>
      <c r="AH187" s="149">
        <v>18</v>
      </c>
      <c r="AI187" s="149" t="s">
        <v>4440</v>
      </c>
      <c r="AJ187" s="189">
        <v>750000</v>
      </c>
      <c r="AK187" s="149">
        <v>1</v>
      </c>
      <c r="AL187" s="149">
        <f t="shared" si="37"/>
        <v>126</v>
      </c>
      <c r="AM187" s="149">
        <f t="shared" si="35"/>
        <v>94500000</v>
      </c>
      <c r="AN187" s="149" t="s">
        <v>657</v>
      </c>
    </row>
    <row r="188" spans="16:44">
      <c r="Q188" s="96"/>
      <c r="R188" s="96"/>
      <c r="S188" s="96"/>
      <c r="T188" s="96"/>
      <c r="V188" s="96"/>
      <c r="AH188" s="196">
        <v>19</v>
      </c>
      <c r="AI188" s="196" t="s">
        <v>4442</v>
      </c>
      <c r="AJ188" s="197">
        <v>-604152</v>
      </c>
      <c r="AK188" s="196">
        <v>0</v>
      </c>
      <c r="AL188" s="196">
        <f t="shared" si="37"/>
        <v>125</v>
      </c>
      <c r="AM188" s="196">
        <f t="shared" si="35"/>
        <v>-75519000</v>
      </c>
      <c r="AN188" s="196" t="s">
        <v>657</v>
      </c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20</v>
      </c>
      <c r="AI189" s="99" t="s">
        <v>4443</v>
      </c>
      <c r="AJ189" s="117">
        <v>-587083</v>
      </c>
      <c r="AK189" s="99">
        <v>4</v>
      </c>
      <c r="AL189" s="99">
        <f t="shared" si="37"/>
        <v>125</v>
      </c>
      <c r="AM189" s="99">
        <f t="shared" si="35"/>
        <v>-73385375</v>
      </c>
      <c r="AN189" s="99"/>
    </row>
    <row r="190" spans="16:44">
      <c r="Q190" s="36" t="s">
        <v>4572</v>
      </c>
      <c r="R190" s="95">
        <f>SUM(N50:N65)</f>
        <v>684679311.5</v>
      </c>
      <c r="T190" s="113" t="s">
        <v>4462</v>
      </c>
      <c r="U190" s="56">
        <v>1000000</v>
      </c>
      <c r="V190" s="113">
        <v>239.024</v>
      </c>
      <c r="W190" s="113">
        <f t="shared" ref="W190:W250" si="38">U190*V190</f>
        <v>239024000</v>
      </c>
      <c r="X190" s="99"/>
      <c r="AH190" s="196">
        <v>21</v>
      </c>
      <c r="AI190" s="196" t="s">
        <v>4444</v>
      </c>
      <c r="AJ190" s="197">
        <v>-754351</v>
      </c>
      <c r="AK190" s="196">
        <v>0</v>
      </c>
      <c r="AL190" s="149">
        <f t="shared" si="37"/>
        <v>121</v>
      </c>
      <c r="AM190" s="196">
        <f t="shared" si="35"/>
        <v>-91276471</v>
      </c>
      <c r="AN190" s="196" t="s">
        <v>657</v>
      </c>
    </row>
    <row r="191" spans="16:44">
      <c r="Q191" s="99" t="s">
        <v>4453</v>
      </c>
      <c r="R191" s="95">
        <f>SUM(N21:N28)</f>
        <v>313069584.80000001</v>
      </c>
      <c r="T191" s="168" t="s">
        <v>4444</v>
      </c>
      <c r="U191" s="56">
        <v>5904</v>
      </c>
      <c r="V191" s="113">
        <v>237.148</v>
      </c>
      <c r="W191" s="113">
        <f t="shared" si="38"/>
        <v>1400121.7919999999</v>
      </c>
      <c r="X191" s="99" t="s">
        <v>751</v>
      </c>
      <c r="Y191" t="s">
        <v>25</v>
      </c>
      <c r="AH191" s="99">
        <v>22</v>
      </c>
      <c r="AI191" s="99" t="s">
        <v>4444</v>
      </c>
      <c r="AJ191" s="117">
        <v>-189619</v>
      </c>
      <c r="AK191" s="99">
        <v>15</v>
      </c>
      <c r="AL191" s="99">
        <f t="shared" si="37"/>
        <v>121</v>
      </c>
      <c r="AM191" s="99">
        <f t="shared" si="35"/>
        <v>-22943899</v>
      </c>
      <c r="AN191" s="99"/>
    </row>
    <row r="192" spans="16:44">
      <c r="Q192" s="99" t="s">
        <v>4454</v>
      </c>
      <c r="R192" s="95">
        <f>SUM(N31:N37)</f>
        <v>34656697.699999996</v>
      </c>
      <c r="T192" s="168" t="s">
        <v>4232</v>
      </c>
      <c r="U192" s="168">
        <v>1000</v>
      </c>
      <c r="V192" s="113">
        <v>247.393</v>
      </c>
      <c r="W192" s="113">
        <f t="shared" si="38"/>
        <v>247393</v>
      </c>
      <c r="X192" s="99" t="s">
        <v>751</v>
      </c>
      <c r="AH192" s="196">
        <v>23</v>
      </c>
      <c r="AI192" s="196" t="s">
        <v>4516</v>
      </c>
      <c r="AJ192" s="189">
        <v>7100</v>
      </c>
      <c r="AK192" s="196">
        <v>0</v>
      </c>
      <c r="AL192" s="149">
        <f t="shared" si="37"/>
        <v>106</v>
      </c>
      <c r="AM192" s="196">
        <f t="shared" si="35"/>
        <v>752600</v>
      </c>
      <c r="AN192" s="196" t="s">
        <v>657</v>
      </c>
    </row>
    <row r="193" spans="16:44">
      <c r="Q193" s="99" t="s">
        <v>4455</v>
      </c>
      <c r="R193" s="95">
        <f>N48</f>
        <v>2678</v>
      </c>
      <c r="T193" s="168" t="s">
        <v>4498</v>
      </c>
      <c r="U193" s="168">
        <v>8071</v>
      </c>
      <c r="V193" s="113">
        <v>247.797</v>
      </c>
      <c r="W193" s="113">
        <f t="shared" si="38"/>
        <v>1999969.5870000001</v>
      </c>
      <c r="X193" s="99" t="s">
        <v>4451</v>
      </c>
      <c r="AH193" s="20">
        <v>24</v>
      </c>
      <c r="AI193" s="20" t="s">
        <v>4516</v>
      </c>
      <c r="AJ193" s="117">
        <v>-147902</v>
      </c>
      <c r="AK193" s="20">
        <v>3</v>
      </c>
      <c r="AL193" s="99">
        <f t="shared" si="37"/>
        <v>106</v>
      </c>
      <c r="AM193" s="20">
        <f t="shared" si="35"/>
        <v>-15677612</v>
      </c>
      <c r="AN193" s="20"/>
    </row>
    <row r="194" spans="16:44">
      <c r="Q194" s="99" t="s">
        <v>4456</v>
      </c>
      <c r="R194" s="95">
        <f>N20</f>
        <v>3788</v>
      </c>
      <c r="T194" s="168" t="s">
        <v>4498</v>
      </c>
      <c r="U194" s="168">
        <v>53672</v>
      </c>
      <c r="V194" s="113">
        <v>247.797</v>
      </c>
      <c r="W194" s="113">
        <f t="shared" si="38"/>
        <v>13299760.584000001</v>
      </c>
      <c r="X194" s="99" t="s">
        <v>452</v>
      </c>
      <c r="AH194" s="149">
        <v>25</v>
      </c>
      <c r="AI194" s="149" t="s">
        <v>4524</v>
      </c>
      <c r="AJ194" s="189">
        <v>-37200</v>
      </c>
      <c r="AK194" s="149">
        <v>4</v>
      </c>
      <c r="AL194" s="149">
        <f t="shared" si="37"/>
        <v>103</v>
      </c>
      <c r="AM194" s="196">
        <f t="shared" si="35"/>
        <v>-3831600</v>
      </c>
      <c r="AN194" s="149" t="s">
        <v>657</v>
      </c>
    </row>
    <row r="195" spans="16:44">
      <c r="Q195" s="99" t="s">
        <v>4457</v>
      </c>
      <c r="R195" s="95">
        <f>N30</f>
        <v>6973</v>
      </c>
      <c r="T195" s="168" t="s">
        <v>4506</v>
      </c>
      <c r="U195" s="168">
        <v>4099</v>
      </c>
      <c r="V195" s="113">
        <v>243.93</v>
      </c>
      <c r="W195" s="113">
        <f t="shared" si="38"/>
        <v>999869.07000000007</v>
      </c>
      <c r="X195" s="99" t="s">
        <v>4451</v>
      </c>
      <c r="AH195" s="99">
        <v>26</v>
      </c>
      <c r="AI195" s="99" t="s">
        <v>4555</v>
      </c>
      <c r="AJ195" s="117">
        <v>-372326</v>
      </c>
      <c r="AK195" s="99">
        <v>21</v>
      </c>
      <c r="AL195" s="99">
        <f t="shared" si="37"/>
        <v>99</v>
      </c>
      <c r="AM195" s="20">
        <f t="shared" si="35"/>
        <v>-36860274</v>
      </c>
      <c r="AN195" s="99"/>
    </row>
    <row r="196" spans="16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38"/>
        <v>2268792.9300000002</v>
      </c>
      <c r="X196" s="99" t="s">
        <v>452</v>
      </c>
      <c r="AH196" s="99">
        <v>27</v>
      </c>
      <c r="AI196" s="99" t="s">
        <v>4609</v>
      </c>
      <c r="AJ196" s="117">
        <v>235062</v>
      </c>
      <c r="AK196" s="99">
        <v>0</v>
      </c>
      <c r="AL196" s="99">
        <f t="shared" si="37"/>
        <v>78</v>
      </c>
      <c r="AM196" s="20">
        <f t="shared" si="35"/>
        <v>18334836</v>
      </c>
      <c r="AN196" s="99"/>
    </row>
    <row r="197" spans="16:44">
      <c r="Q197" s="99" t="s">
        <v>4898</v>
      </c>
      <c r="R197" s="95">
        <v>0</v>
      </c>
      <c r="T197" s="168" t="s">
        <v>4512</v>
      </c>
      <c r="U197" s="168">
        <v>8334</v>
      </c>
      <c r="V197" s="113">
        <v>239.97</v>
      </c>
      <c r="W197" s="113">
        <f t="shared" si="38"/>
        <v>1999909.98</v>
      </c>
      <c r="X197" s="99" t="s">
        <v>4451</v>
      </c>
      <c r="AH197" s="149">
        <v>28</v>
      </c>
      <c r="AI197" s="149" t="s">
        <v>4609</v>
      </c>
      <c r="AJ197" s="189">
        <v>235062</v>
      </c>
      <c r="AK197" s="149">
        <v>9</v>
      </c>
      <c r="AL197" s="99">
        <f t="shared" si="37"/>
        <v>78</v>
      </c>
      <c r="AM197" s="149">
        <f t="shared" si="35"/>
        <v>18334836</v>
      </c>
      <c r="AN197" s="149" t="s">
        <v>657</v>
      </c>
    </row>
    <row r="198" spans="16:44">
      <c r="Q198" s="99" t="s">
        <v>4939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38"/>
        <v>6779621.4499999993</v>
      </c>
      <c r="X198" s="99" t="s">
        <v>751</v>
      </c>
      <c r="AH198" s="149">
        <v>29</v>
      </c>
      <c r="AI198" s="149" t="s">
        <v>4638</v>
      </c>
      <c r="AJ198" s="189">
        <v>450000</v>
      </c>
      <c r="AK198" s="149">
        <v>0</v>
      </c>
      <c r="AL198" s="99">
        <f t="shared" si="37"/>
        <v>69</v>
      </c>
      <c r="AM198" s="149">
        <f t="shared" si="35"/>
        <v>31050000</v>
      </c>
      <c r="AN198" s="149" t="s">
        <v>657</v>
      </c>
    </row>
    <row r="199" spans="16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38"/>
        <v>2999901.9310000003</v>
      </c>
      <c r="X199" s="99" t="s">
        <v>4451</v>
      </c>
      <c r="AH199" s="20">
        <v>30</v>
      </c>
      <c r="AI199" s="20" t="s">
        <v>4638</v>
      </c>
      <c r="AJ199" s="117">
        <v>450000</v>
      </c>
      <c r="AK199" s="20">
        <v>22</v>
      </c>
      <c r="AL199" s="99">
        <f>AK199+AL200</f>
        <v>69</v>
      </c>
      <c r="AM199" s="20">
        <f t="shared" si="35"/>
        <v>31050000</v>
      </c>
      <c r="AN199" s="20"/>
      <c r="AQ199" t="s">
        <v>25</v>
      </c>
    </row>
    <row r="200" spans="16:44">
      <c r="Q200" s="99" t="s">
        <v>4461</v>
      </c>
      <c r="R200" s="95">
        <f>SUM(R190:R199)</f>
        <v>1032610308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38"/>
        <v>-4000004.0599999996</v>
      </c>
      <c r="X200" s="99" t="s">
        <v>751</v>
      </c>
      <c r="AH200" s="149">
        <v>31</v>
      </c>
      <c r="AI200" s="149" t="s">
        <v>4741</v>
      </c>
      <c r="AJ200" s="189">
        <v>300000</v>
      </c>
      <c r="AK200" s="149">
        <v>0</v>
      </c>
      <c r="AL200" s="149">
        <f t="shared" ref="AL200:AL218" si="39">AK200+AL201</f>
        <v>47</v>
      </c>
      <c r="AM200" s="149">
        <f t="shared" ref="AM200:AM203" si="40">AJ200*AL200</f>
        <v>14100000</v>
      </c>
      <c r="AN200" s="149"/>
    </row>
    <row r="201" spans="16:44" ht="30"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38"/>
        <v>25071596.019099999</v>
      </c>
      <c r="X201" s="99" t="s">
        <v>452</v>
      </c>
      <c r="AH201" s="121">
        <v>32</v>
      </c>
      <c r="AI201" s="121" t="s">
        <v>4741</v>
      </c>
      <c r="AJ201" s="79">
        <v>288936</v>
      </c>
      <c r="AK201" s="121">
        <v>3</v>
      </c>
      <c r="AL201" s="121">
        <f t="shared" si="39"/>
        <v>47</v>
      </c>
      <c r="AM201" s="121">
        <f t="shared" si="40"/>
        <v>13579992</v>
      </c>
      <c r="AN201" s="207" t="s">
        <v>4754</v>
      </c>
    </row>
    <row r="202" spans="16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38"/>
        <v>16726831.386</v>
      </c>
      <c r="X202" s="99" t="s">
        <v>751</v>
      </c>
      <c r="AH202" s="121">
        <v>33</v>
      </c>
      <c r="AI202" s="121" t="s">
        <v>4752</v>
      </c>
      <c r="AJ202" s="79">
        <v>17962491</v>
      </c>
      <c r="AK202" s="121">
        <v>1</v>
      </c>
      <c r="AL202" s="121">
        <f t="shared" si="39"/>
        <v>44</v>
      </c>
      <c r="AM202" s="121">
        <f t="shared" si="40"/>
        <v>790349604</v>
      </c>
      <c r="AN202" s="121" t="s">
        <v>4759</v>
      </c>
      <c r="AR202" t="s">
        <v>25</v>
      </c>
    </row>
    <row r="203" spans="16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38"/>
        <v>42236971.402499996</v>
      </c>
      <c r="X203" s="99" t="s">
        <v>452</v>
      </c>
      <c r="AH203" s="121">
        <v>34</v>
      </c>
      <c r="AI203" s="121" t="s">
        <v>3684</v>
      </c>
      <c r="AJ203" s="79">
        <v>18363511</v>
      </c>
      <c r="AK203" s="121">
        <v>1</v>
      </c>
      <c r="AL203" s="121">
        <f t="shared" si="39"/>
        <v>43</v>
      </c>
      <c r="AM203" s="121">
        <f t="shared" si="40"/>
        <v>789630973</v>
      </c>
      <c r="AN203" s="121" t="s">
        <v>4759</v>
      </c>
    </row>
    <row r="204" spans="16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38"/>
        <v>46460545.778700002</v>
      </c>
      <c r="X204" s="99" t="s">
        <v>751</v>
      </c>
      <c r="AH204" s="121">
        <v>35</v>
      </c>
      <c r="AI204" s="121" t="s">
        <v>4765</v>
      </c>
      <c r="AJ204" s="79">
        <v>23622417</v>
      </c>
      <c r="AK204" s="121">
        <v>5</v>
      </c>
      <c r="AL204" s="121">
        <f t="shared" si="39"/>
        <v>42</v>
      </c>
      <c r="AM204" s="121">
        <f t="shared" ref="AM204:AM219" si="41">AJ204*AL204</f>
        <v>992141514</v>
      </c>
      <c r="AN204" s="121" t="s">
        <v>4774</v>
      </c>
    </row>
    <row r="205" spans="16:44">
      <c r="T205" s="168" t="s">
        <v>4638</v>
      </c>
      <c r="U205" s="168">
        <v>79720</v>
      </c>
      <c r="V205" s="113">
        <v>246.6568</v>
      </c>
      <c r="W205" s="113">
        <f t="shared" si="38"/>
        <v>19663480.096000001</v>
      </c>
      <c r="X205" s="99" t="s">
        <v>452</v>
      </c>
      <c r="AH205" s="121">
        <v>36</v>
      </c>
      <c r="AI205" s="121" t="s">
        <v>4791</v>
      </c>
      <c r="AJ205" s="79">
        <v>82496108</v>
      </c>
      <c r="AK205" s="121">
        <v>1</v>
      </c>
      <c r="AL205" s="121">
        <f t="shared" si="39"/>
        <v>37</v>
      </c>
      <c r="AM205" s="121">
        <f t="shared" si="41"/>
        <v>3052355996</v>
      </c>
      <c r="AN205" s="121" t="s">
        <v>4794</v>
      </c>
      <c r="AR205" t="s">
        <v>25</v>
      </c>
    </row>
    <row r="206" spans="16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38"/>
        <v>19663480.096000001</v>
      </c>
      <c r="X206" s="99" t="s">
        <v>751</v>
      </c>
      <c r="AH206" s="121">
        <v>37</v>
      </c>
      <c r="AI206" s="121" t="s">
        <v>4793</v>
      </c>
      <c r="AJ206" s="79">
        <v>74657561</v>
      </c>
      <c r="AK206" s="121">
        <v>16</v>
      </c>
      <c r="AL206" s="121">
        <f t="shared" si="39"/>
        <v>36</v>
      </c>
      <c r="AM206" s="121">
        <f t="shared" si="41"/>
        <v>2687672196</v>
      </c>
      <c r="AN206" s="121" t="s">
        <v>4802</v>
      </c>
    </row>
    <row r="207" spans="16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38"/>
        <v>4374350.7418200001</v>
      </c>
      <c r="X207" s="99" t="s">
        <v>751</v>
      </c>
      <c r="AH207" s="99">
        <v>38</v>
      </c>
      <c r="AI207" s="99" t="s">
        <v>4890</v>
      </c>
      <c r="AJ207" s="117">
        <v>665000</v>
      </c>
      <c r="AK207" s="99">
        <v>0</v>
      </c>
      <c r="AL207" s="99">
        <f t="shared" si="39"/>
        <v>20</v>
      </c>
      <c r="AM207" s="20">
        <f t="shared" si="41"/>
        <v>13300000</v>
      </c>
      <c r="AN207" s="99"/>
    </row>
    <row r="208" spans="16:44"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38"/>
        <v>4374350.7418200001</v>
      </c>
      <c r="X208" s="99" t="s">
        <v>452</v>
      </c>
      <c r="AH208" s="149">
        <v>39</v>
      </c>
      <c r="AI208" s="149" t="s">
        <v>4890</v>
      </c>
      <c r="AJ208" s="189">
        <v>665000</v>
      </c>
      <c r="AK208" s="149">
        <v>4</v>
      </c>
      <c r="AL208" s="196">
        <f t="shared" si="39"/>
        <v>20</v>
      </c>
      <c r="AM208" s="196">
        <f t="shared" ref="AM208:AM209" si="42">AJ208*AL208</f>
        <v>13300000</v>
      </c>
      <c r="AN208" s="196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38"/>
        <v>3000103.5610799999</v>
      </c>
      <c r="X209" s="99" t="s">
        <v>4451</v>
      </c>
      <c r="AH209" s="20">
        <v>40</v>
      </c>
      <c r="AI209" s="20" t="s">
        <v>4906</v>
      </c>
      <c r="AJ209" s="117">
        <v>2000000</v>
      </c>
      <c r="AK209" s="20">
        <v>1</v>
      </c>
      <c r="AL209" s="99">
        <f t="shared" si="39"/>
        <v>16</v>
      </c>
      <c r="AM209" s="20">
        <f t="shared" si="42"/>
        <v>32000000</v>
      </c>
      <c r="AN209" s="99"/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38"/>
        <v>6550390.2617999995</v>
      </c>
      <c r="X210" s="99" t="s">
        <v>751</v>
      </c>
      <c r="Z210" t="s">
        <v>25</v>
      </c>
      <c r="AH210" s="20">
        <v>41</v>
      </c>
      <c r="AI210" s="20" t="s">
        <v>4915</v>
      </c>
      <c r="AJ210" s="117">
        <v>-2060725</v>
      </c>
      <c r="AK210" s="20">
        <v>0</v>
      </c>
      <c r="AL210" s="99">
        <f t="shared" si="39"/>
        <v>15</v>
      </c>
      <c r="AM210" s="20">
        <f t="shared" ref="AM210:AM218" si="43">AJ210*AL210</f>
        <v>-30910875</v>
      </c>
      <c r="AN210" s="99" t="s">
        <v>4916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38"/>
        <v>6550390.2617999995</v>
      </c>
      <c r="X211" s="99" t="s">
        <v>452</v>
      </c>
      <c r="AH211" s="149">
        <v>42</v>
      </c>
      <c r="AI211" s="149" t="s">
        <v>4915</v>
      </c>
      <c r="AJ211" s="189">
        <v>-433375</v>
      </c>
      <c r="AK211" s="149">
        <v>0</v>
      </c>
      <c r="AL211" s="149">
        <f t="shared" si="39"/>
        <v>15</v>
      </c>
      <c r="AM211" s="149">
        <f t="shared" si="43"/>
        <v>-6500625</v>
      </c>
      <c r="AN211" s="149" t="s">
        <v>4917</v>
      </c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38"/>
        <v>6650769.9555000002</v>
      </c>
      <c r="X212" s="99" t="s">
        <v>751</v>
      </c>
      <c r="AH212" s="20">
        <v>43</v>
      </c>
      <c r="AI212" s="20" t="s">
        <v>4915</v>
      </c>
      <c r="AJ212" s="117">
        <v>28000000</v>
      </c>
      <c r="AK212" s="20">
        <v>1</v>
      </c>
      <c r="AL212" s="99">
        <f t="shared" si="39"/>
        <v>15</v>
      </c>
      <c r="AM212" s="20">
        <f t="shared" si="43"/>
        <v>420000000</v>
      </c>
      <c r="AN212" s="99" t="s">
        <v>3891</v>
      </c>
      <c r="AQ212" t="s">
        <v>25</v>
      </c>
    </row>
    <row r="213" spans="16:45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38"/>
        <v>7054853.2560000001</v>
      </c>
      <c r="X213" s="99" t="s">
        <v>452</v>
      </c>
      <c r="AH213" s="20">
        <v>44</v>
      </c>
      <c r="AI213" s="20" t="s">
        <v>4926</v>
      </c>
      <c r="AJ213" s="117">
        <v>160000</v>
      </c>
      <c r="AK213" s="20">
        <v>0</v>
      </c>
      <c r="AL213" s="99">
        <f t="shared" si="39"/>
        <v>14</v>
      </c>
      <c r="AM213" s="20">
        <f t="shared" si="43"/>
        <v>2240000</v>
      </c>
      <c r="AN213" s="99"/>
    </row>
    <row r="214" spans="16:45">
      <c r="P214" s="99" t="s">
        <v>4922</v>
      </c>
      <c r="Q214" s="99" t="s">
        <v>4915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38"/>
        <v>2145690.19197</v>
      </c>
      <c r="X214" s="99" t="s">
        <v>751</v>
      </c>
      <c r="AH214" s="149">
        <v>45</v>
      </c>
      <c r="AI214" s="149" t="s">
        <v>4926</v>
      </c>
      <c r="AJ214" s="189">
        <v>70000</v>
      </c>
      <c r="AK214" s="149">
        <v>9</v>
      </c>
      <c r="AL214" s="149">
        <f t="shared" si="39"/>
        <v>14</v>
      </c>
      <c r="AM214" s="149">
        <f t="shared" si="43"/>
        <v>980000</v>
      </c>
      <c r="AN214" s="149"/>
    </row>
    <row r="215" spans="16:45">
      <c r="P215" s="99" t="s">
        <v>4923</v>
      </c>
      <c r="Q215" s="99" t="s">
        <v>4915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38"/>
        <v>2145690.19197</v>
      </c>
      <c r="X215" s="99" t="s">
        <v>452</v>
      </c>
      <c r="AH215" s="20">
        <v>46</v>
      </c>
      <c r="AI215" s="20" t="s">
        <v>4941</v>
      </c>
      <c r="AJ215" s="117">
        <v>850000</v>
      </c>
      <c r="AK215" s="20">
        <v>0</v>
      </c>
      <c r="AL215" s="99">
        <f t="shared" si="39"/>
        <v>5</v>
      </c>
      <c r="AM215" s="20">
        <f t="shared" si="43"/>
        <v>4250000</v>
      </c>
      <c r="AN215" s="99"/>
    </row>
    <row r="216" spans="16:45">
      <c r="P216" s="99" t="s">
        <v>4923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38"/>
        <v>4369608.0892000003</v>
      </c>
      <c r="X216" s="99" t="s">
        <v>751</v>
      </c>
      <c r="AH216" s="196">
        <v>47</v>
      </c>
      <c r="AI216" s="196" t="s">
        <v>4941</v>
      </c>
      <c r="AJ216" s="197">
        <v>20000</v>
      </c>
      <c r="AK216" s="196">
        <v>4</v>
      </c>
      <c r="AL216" s="196">
        <f t="shared" si="39"/>
        <v>5</v>
      </c>
      <c r="AM216" s="196">
        <f t="shared" si="43"/>
        <v>100000</v>
      </c>
      <c r="AN216" s="196"/>
      <c r="AS216" t="s">
        <v>25</v>
      </c>
    </row>
    <row r="217" spans="16:45">
      <c r="P217" s="196" t="s">
        <v>1087</v>
      </c>
      <c r="Q217" s="196" t="s">
        <v>4957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38"/>
        <v>4369608.0892000003</v>
      </c>
      <c r="X217" s="99" t="s">
        <v>452</v>
      </c>
      <c r="AH217" s="196">
        <v>48</v>
      </c>
      <c r="AI217" s="196" t="s">
        <v>4957</v>
      </c>
      <c r="AJ217" s="197">
        <v>30000000</v>
      </c>
      <c r="AK217" s="196">
        <v>1</v>
      </c>
      <c r="AL217" s="196">
        <f t="shared" si="39"/>
        <v>1</v>
      </c>
      <c r="AM217" s="196">
        <f t="shared" si="43"/>
        <v>30000000</v>
      </c>
      <c r="AN217" s="196" t="s">
        <v>4959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38"/>
        <v>8797507.7134000007</v>
      </c>
      <c r="X218" s="99" t="s">
        <v>751</v>
      </c>
      <c r="AH218" s="99"/>
      <c r="AI218" s="99"/>
      <c r="AJ218" s="117"/>
      <c r="AK218" s="99"/>
      <c r="AL218" s="99">
        <f t="shared" si="39"/>
        <v>0</v>
      </c>
      <c r="AM218" s="20">
        <f t="shared" si="43"/>
        <v>0</v>
      </c>
      <c r="AN218" s="99"/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38"/>
        <v>8797507.7134000007</v>
      </c>
      <c r="X219" s="99" t="s">
        <v>452</v>
      </c>
      <c r="AH219" s="99"/>
      <c r="AI219" s="99"/>
      <c r="AJ219" s="117"/>
      <c r="AK219" s="99"/>
      <c r="AL219" s="99">
        <f t="shared" ref="AL219" si="44">AK219+AL222</f>
        <v>0</v>
      </c>
      <c r="AM219" s="99">
        <f t="shared" si="41"/>
        <v>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38"/>
        <v>6667631.2002000008</v>
      </c>
      <c r="X220" s="99" t="s">
        <v>751</v>
      </c>
      <c r="Y220" t="s">
        <v>25</v>
      </c>
      <c r="AH220" s="99"/>
      <c r="AI220" s="99"/>
      <c r="AJ220" s="95">
        <f>SUM(AJ170:AJ219)</f>
        <v>306517098</v>
      </c>
      <c r="AK220" s="99"/>
      <c r="AL220" s="99"/>
      <c r="AM220" s="99">
        <f>SUM(AM170:AM219)</f>
        <v>14031075671</v>
      </c>
      <c r="AN220" s="95">
        <f>AM220*AN156/31</f>
        <v>7543739.9422115162</v>
      </c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38"/>
        <v>6667631.2002000008</v>
      </c>
      <c r="X221" s="99" t="s">
        <v>452</v>
      </c>
      <c r="AJ221" t="s">
        <v>4059</v>
      </c>
      <c r="AM221" t="s">
        <v>284</v>
      </c>
      <c r="AN221" t="s">
        <v>943</v>
      </c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38"/>
        <v>8981064.8900000006</v>
      </c>
      <c r="X222" s="99" t="s">
        <v>751</v>
      </c>
      <c r="Y222" s="96"/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38"/>
        <v>8981064.8900000006</v>
      </c>
      <c r="X223" s="99" t="s">
        <v>452</v>
      </c>
      <c r="Y223" t="s">
        <v>25</v>
      </c>
      <c r="AI223" t="s">
        <v>4061</v>
      </c>
      <c r="AJ223" s="114">
        <f>AJ220+AN220</f>
        <v>314060837.94221151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38"/>
        <v>9181620.3599999994</v>
      </c>
      <c r="X224" s="99" t="s">
        <v>751</v>
      </c>
      <c r="Z224" t="s">
        <v>25</v>
      </c>
      <c r="AI224" t="s">
        <v>4064</v>
      </c>
      <c r="AJ224" s="114">
        <f>SUM(N20:N37)</f>
        <v>347737043.49999994</v>
      </c>
    </row>
    <row r="225" spans="17:40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38"/>
        <v>9181620.3599999994</v>
      </c>
      <c r="X225" s="99" t="s">
        <v>452</v>
      </c>
      <c r="AI225" t="s">
        <v>4136</v>
      </c>
      <c r="AJ225" s="114">
        <f>AJ224-AJ220</f>
        <v>41219945.49999994</v>
      </c>
    </row>
    <row r="226" spans="17:40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38"/>
        <v>11811186.475</v>
      </c>
      <c r="X226" s="99" t="s">
        <v>751</v>
      </c>
      <c r="AI226" t="s">
        <v>943</v>
      </c>
      <c r="AJ226" s="114">
        <f>AN220</f>
        <v>7543739.9422115162</v>
      </c>
    </row>
    <row r="227" spans="17:40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38"/>
        <v>11811186.475</v>
      </c>
      <c r="X227" s="99" t="s">
        <v>452</v>
      </c>
      <c r="AI227" t="s">
        <v>4065</v>
      </c>
      <c r="AJ227" s="114">
        <f>AJ225-AJ226</f>
        <v>33676205.557788424</v>
      </c>
      <c r="AN227" t="s">
        <v>25</v>
      </c>
    </row>
    <row r="228" spans="17:40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38"/>
        <v>41247832.126000002</v>
      </c>
      <c r="X228" s="99" t="s">
        <v>751</v>
      </c>
      <c r="AN228" t="s">
        <v>25</v>
      </c>
    </row>
    <row r="229" spans="17:40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38"/>
        <v>41247832.126000002</v>
      </c>
      <c r="X229" s="99" t="s">
        <v>452</v>
      </c>
    </row>
    <row r="230" spans="17:40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38"/>
        <v>37328539.346100003</v>
      </c>
      <c r="X230" s="99" t="s">
        <v>751</v>
      </c>
    </row>
    <row r="231" spans="17:40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38"/>
        <v>37328539.346100003</v>
      </c>
      <c r="X231" s="99" t="s">
        <v>452</v>
      </c>
      <c r="AN231" t="s">
        <v>25</v>
      </c>
    </row>
    <row r="232" spans="17:40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38"/>
        <v>49999818</v>
      </c>
      <c r="X232" s="99" t="s">
        <v>4820</v>
      </c>
    </row>
    <row r="233" spans="17:40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38"/>
        <v>651866.696</v>
      </c>
      <c r="X233" s="99" t="s">
        <v>4821</v>
      </c>
    </row>
    <row r="234" spans="17:40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38"/>
        <v>-2999869.5300000003</v>
      </c>
      <c r="X234" s="99" t="s">
        <v>4873</v>
      </c>
    </row>
    <row r="235" spans="17:40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38"/>
        <v>2999869.5300000003</v>
      </c>
      <c r="X235" s="99" t="s">
        <v>4874</v>
      </c>
    </row>
    <row r="236" spans="17:40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38"/>
        <v>68429.399999999994</v>
      </c>
      <c r="X236" s="99" t="s">
        <v>452</v>
      </c>
    </row>
    <row r="237" spans="17:40">
      <c r="Q237" s="99" t="s">
        <v>4722</v>
      </c>
      <c r="R237" s="95">
        <v>2145814</v>
      </c>
      <c r="T237" s="215" t="s">
        <v>4906</v>
      </c>
      <c r="U237" s="215">
        <v>15257</v>
      </c>
      <c r="V237" s="113">
        <v>262.19018</v>
      </c>
      <c r="W237" s="113">
        <f t="shared" si="38"/>
        <v>4000235.57626</v>
      </c>
      <c r="X237" s="99" t="s">
        <v>452</v>
      </c>
    </row>
    <row r="238" spans="17:40">
      <c r="Q238" s="99" t="s">
        <v>4737</v>
      </c>
      <c r="R238" s="95">
        <v>4369730</v>
      </c>
      <c r="T238" s="215" t="s">
        <v>4906</v>
      </c>
      <c r="U238" s="215">
        <v>8444</v>
      </c>
      <c r="V238" s="113">
        <v>266.43029999999999</v>
      </c>
      <c r="W238" s="113">
        <f t="shared" si="38"/>
        <v>2249737.4531999999</v>
      </c>
      <c r="X238" s="99" t="s">
        <v>452</v>
      </c>
    </row>
    <row r="239" spans="17:40">
      <c r="Q239" s="99" t="s">
        <v>4741</v>
      </c>
      <c r="R239" s="95">
        <v>8739459</v>
      </c>
      <c r="T239" s="215" t="s">
        <v>4915</v>
      </c>
      <c r="U239" s="215">
        <v>-6209</v>
      </c>
      <c r="V239" s="113">
        <v>273.79649999999998</v>
      </c>
      <c r="W239" s="113">
        <f t="shared" si="38"/>
        <v>-1700002.4685</v>
      </c>
      <c r="X239" s="99" t="s">
        <v>4928</v>
      </c>
    </row>
    <row r="240" spans="17:40">
      <c r="Q240" s="99" t="s">
        <v>4752</v>
      </c>
      <c r="R240" s="95">
        <v>6667654</v>
      </c>
      <c r="T240" s="215" t="s">
        <v>4915</v>
      </c>
      <c r="U240" s="215">
        <v>-8014</v>
      </c>
      <c r="V240" s="113">
        <v>273.79649999999998</v>
      </c>
      <c r="W240" s="113">
        <f t="shared" si="38"/>
        <v>-2194205.1510000001</v>
      </c>
      <c r="X240" s="99" t="s">
        <v>751</v>
      </c>
    </row>
    <row r="241" spans="17:25">
      <c r="Q241" s="99" t="s">
        <v>4760</v>
      </c>
      <c r="R241" s="95">
        <v>8981245</v>
      </c>
      <c r="S241" t="s">
        <v>25</v>
      </c>
      <c r="T241" s="215" t="s">
        <v>4926</v>
      </c>
      <c r="U241" s="215">
        <v>-9176</v>
      </c>
      <c r="V241" s="113">
        <v>273.79649999999998</v>
      </c>
      <c r="W241" s="113">
        <f t="shared" si="38"/>
        <v>-2512356.6839999999</v>
      </c>
      <c r="X241" s="99" t="s">
        <v>452</v>
      </c>
    </row>
    <row r="242" spans="17:25">
      <c r="Q242" s="99" t="s">
        <v>4765</v>
      </c>
      <c r="R242" s="95">
        <v>9181756</v>
      </c>
      <c r="T242" s="215" t="s">
        <v>4926</v>
      </c>
      <c r="U242" s="215">
        <v>1087</v>
      </c>
      <c r="V242" s="113">
        <v>273.79649999999998</v>
      </c>
      <c r="W242" s="113">
        <f t="shared" si="38"/>
        <v>297616.79550000001</v>
      </c>
      <c r="X242" s="99" t="s">
        <v>452</v>
      </c>
    </row>
    <row r="243" spans="17:25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38"/>
        <v>-1099840.5404999999</v>
      </c>
      <c r="X243" s="99" t="s">
        <v>4451</v>
      </c>
    </row>
    <row r="244" spans="17:25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38"/>
        <v>1099840.5404999999</v>
      </c>
      <c r="X244" s="99" t="s">
        <v>452</v>
      </c>
      <c r="Y244" t="s">
        <v>25</v>
      </c>
    </row>
    <row r="245" spans="17:25">
      <c r="Q245" s="99" t="s">
        <v>4803</v>
      </c>
      <c r="R245" s="95">
        <v>37328780</v>
      </c>
      <c r="S245" t="s">
        <v>25</v>
      </c>
      <c r="T245" s="215" t="s">
        <v>4941</v>
      </c>
      <c r="U245" s="215">
        <v>3137</v>
      </c>
      <c r="V245" s="113">
        <v>283.69110000000001</v>
      </c>
      <c r="W245" s="113">
        <f t="shared" si="38"/>
        <v>889938.98070000007</v>
      </c>
      <c r="X245" s="99" t="s">
        <v>452</v>
      </c>
      <c r="Y245" t="s">
        <v>25</v>
      </c>
    </row>
    <row r="246" spans="17:25">
      <c r="Q246" s="99" t="s">
        <v>4915</v>
      </c>
      <c r="R246" s="95">
        <v>-2194100</v>
      </c>
      <c r="S246" t="s">
        <v>25</v>
      </c>
      <c r="T246" s="215" t="s">
        <v>4957</v>
      </c>
      <c r="U246" s="215">
        <v>101933</v>
      </c>
      <c r="V246" s="113">
        <v>294.30973999999998</v>
      </c>
      <c r="W246" s="113">
        <f t="shared" si="38"/>
        <v>29999874.727419998</v>
      </c>
      <c r="X246" s="99" t="s">
        <v>1087</v>
      </c>
    </row>
    <row r="247" spans="17:25">
      <c r="Q247" s="99" t="s">
        <v>4972</v>
      </c>
      <c r="R247" s="95">
        <v>20193916</v>
      </c>
      <c r="T247" s="215" t="s">
        <v>4970</v>
      </c>
      <c r="U247" s="215">
        <v>3407</v>
      </c>
      <c r="V247" s="113">
        <v>293.43799999999999</v>
      </c>
      <c r="W247" s="113">
        <f t="shared" si="38"/>
        <v>999743.26599999995</v>
      </c>
      <c r="X247" s="99" t="s">
        <v>452</v>
      </c>
    </row>
    <row r="248" spans="17:25">
      <c r="Q248" s="99"/>
      <c r="R248" s="95"/>
      <c r="T248" s="215" t="s">
        <v>4972</v>
      </c>
      <c r="U248" s="215">
        <v>68796</v>
      </c>
      <c r="V248" s="113">
        <v>293.53250000000003</v>
      </c>
      <c r="W248" s="113">
        <f t="shared" si="38"/>
        <v>20193861.870000001</v>
      </c>
      <c r="X248" s="99" t="s">
        <v>751</v>
      </c>
    </row>
    <row r="249" spans="17:25">
      <c r="Q249" s="99"/>
      <c r="R249" s="95">
        <f>SUM(R226:R248)</f>
        <v>426236275</v>
      </c>
      <c r="T249" s="215" t="s">
        <v>4972</v>
      </c>
      <c r="U249" s="215">
        <v>154791</v>
      </c>
      <c r="V249" s="113">
        <v>293.53250000000003</v>
      </c>
      <c r="W249" s="113">
        <f t="shared" si="38"/>
        <v>45436189.207500003</v>
      </c>
      <c r="X249" s="99" t="s">
        <v>452</v>
      </c>
    </row>
    <row r="250" spans="17:25">
      <c r="Q250" s="99"/>
      <c r="R250" s="99" t="s">
        <v>6</v>
      </c>
      <c r="T250" s="215" t="s">
        <v>4972</v>
      </c>
      <c r="U250" s="215">
        <v>-11923</v>
      </c>
      <c r="V250" s="113">
        <v>293.53250000000003</v>
      </c>
      <c r="W250" s="113">
        <f t="shared" si="38"/>
        <v>-3499787.9975000005</v>
      </c>
      <c r="X250" s="99" t="s">
        <v>452</v>
      </c>
    </row>
    <row r="251" spans="17:25">
      <c r="T251" s="168"/>
      <c r="U251" s="168"/>
      <c r="V251" s="113"/>
      <c r="W251" s="113"/>
      <c r="X251" s="99"/>
    </row>
    <row r="252" spans="17:25">
      <c r="T252" s="168"/>
      <c r="U252" s="168">
        <f>SUM(U190:U251)</f>
        <v>3528786</v>
      </c>
      <c r="V252" s="99"/>
      <c r="W252" s="99"/>
      <c r="X252" s="99"/>
    </row>
    <row r="253" spans="17:25">
      <c r="Q253" s="99" t="s">
        <v>452</v>
      </c>
      <c r="R253" s="99"/>
      <c r="T253" s="99"/>
      <c r="U253" s="99" t="s">
        <v>6</v>
      </c>
      <c r="V253" s="99"/>
      <c r="W253" s="99"/>
      <c r="X253" s="99"/>
    </row>
    <row r="254" spans="17:25">
      <c r="Q254" s="99" t="s">
        <v>4444</v>
      </c>
      <c r="R254" s="95">
        <v>63115000</v>
      </c>
      <c r="T254" s="201" t="s">
        <v>4488</v>
      </c>
    </row>
    <row r="255" spans="17:25">
      <c r="Q255" s="99" t="s">
        <v>4498</v>
      </c>
      <c r="R255" s="95">
        <v>13300000</v>
      </c>
      <c r="T255" s="200">
        <f>R200/U252</f>
        <v>292.62480297756792</v>
      </c>
    </row>
    <row r="256" spans="17:25">
      <c r="Q256" s="99" t="s">
        <v>4506</v>
      </c>
      <c r="R256" s="95">
        <v>2269000</v>
      </c>
      <c r="W256" s="114"/>
    </row>
    <row r="257" spans="17:24">
      <c r="Q257" s="99" t="s">
        <v>4624</v>
      </c>
      <c r="R257" s="95">
        <v>25071612</v>
      </c>
      <c r="U257" s="96" t="s">
        <v>267</v>
      </c>
      <c r="V257" t="s">
        <v>4489</v>
      </c>
      <c r="X257" t="s">
        <v>25</v>
      </c>
    </row>
    <row r="258" spans="17:24">
      <c r="Q258" s="99" t="s">
        <v>4635</v>
      </c>
      <c r="R258" s="95">
        <v>42236984</v>
      </c>
      <c r="T258" s="114"/>
      <c r="U258" s="113">
        <v>3500000</v>
      </c>
      <c r="V258">
        <f>U258/T255</f>
        <v>11960.708608382398</v>
      </c>
      <c r="X258" t="s">
        <v>25</v>
      </c>
    </row>
    <row r="259" spans="17:24">
      <c r="Q259" s="99" t="s">
        <v>4638</v>
      </c>
      <c r="R259" s="95">
        <v>19663646</v>
      </c>
      <c r="X259" t="s">
        <v>25</v>
      </c>
    </row>
    <row r="260" spans="17:24">
      <c r="Q260" s="99" t="s">
        <v>4665</v>
      </c>
      <c r="R260" s="95">
        <v>4374525</v>
      </c>
      <c r="W260" s="225"/>
      <c r="X260" s="96"/>
    </row>
    <row r="261" spans="17:24">
      <c r="Q261" s="99" t="s">
        <v>4681</v>
      </c>
      <c r="R261" s="95">
        <v>6550580</v>
      </c>
    </row>
    <row r="262" spans="17:24">
      <c r="Q262" s="99" t="s">
        <v>4685</v>
      </c>
      <c r="R262" s="95">
        <v>7054895</v>
      </c>
    </row>
    <row r="263" spans="17:24" ht="60">
      <c r="Q263" s="99" t="s">
        <v>4722</v>
      </c>
      <c r="R263" s="95">
        <v>2145814</v>
      </c>
      <c r="T263" s="22" t="s">
        <v>4472</v>
      </c>
      <c r="V263" s="225"/>
    </row>
    <row r="264" spans="17:24" ht="45">
      <c r="Q264" s="99" t="s">
        <v>4737</v>
      </c>
      <c r="R264" s="95">
        <v>4369730</v>
      </c>
      <c r="T264" s="22" t="s">
        <v>4473</v>
      </c>
    </row>
    <row r="265" spans="17:24">
      <c r="Q265" s="99" t="s">
        <v>4741</v>
      </c>
      <c r="R265" s="95">
        <v>8739459</v>
      </c>
    </row>
    <row r="266" spans="17:24">
      <c r="Q266" s="99" t="s">
        <v>4752</v>
      </c>
      <c r="R266" s="95">
        <v>6667654</v>
      </c>
    </row>
    <row r="267" spans="17:24">
      <c r="Q267" s="99" t="s">
        <v>3684</v>
      </c>
      <c r="R267" s="95">
        <v>8981245</v>
      </c>
      <c r="T267" s="99" t="s">
        <v>4490</v>
      </c>
      <c r="U267" s="99" t="s">
        <v>4461</v>
      </c>
      <c r="V267" s="99" t="s">
        <v>953</v>
      </c>
    </row>
    <row r="268" spans="17:24">
      <c r="Q268" s="99" t="s">
        <v>4765</v>
      </c>
      <c r="R268" s="95">
        <v>9181756</v>
      </c>
      <c r="T268" s="95">
        <f>R219+R249+R284</f>
        <v>880579220</v>
      </c>
      <c r="U268" s="95">
        <f>R200</f>
        <v>1032610308</v>
      </c>
      <c r="V268" s="95">
        <f>U268-T268</f>
        <v>152031088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</row>
    <row r="271" spans="17:24">
      <c r="Q271" s="99" t="s">
        <v>4803</v>
      </c>
      <c r="R271" s="95">
        <v>37328780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  <c r="T273" t="s">
        <v>25</v>
      </c>
    </row>
    <row r="274" spans="17:20">
      <c r="Q274" s="99" t="s">
        <v>4906</v>
      </c>
      <c r="R274" s="95">
        <v>4000236</v>
      </c>
      <c r="T274" t="s">
        <v>25</v>
      </c>
    </row>
    <row r="275" spans="17:20">
      <c r="Q275" s="99" t="s">
        <v>4906</v>
      </c>
      <c r="R275" s="95">
        <v>2250000</v>
      </c>
    </row>
    <row r="276" spans="17:20">
      <c r="Q276" s="99" t="s">
        <v>4915</v>
      </c>
      <c r="R276" s="95">
        <v>-2512200</v>
      </c>
      <c r="T276" t="s">
        <v>25</v>
      </c>
    </row>
    <row r="277" spans="17:20">
      <c r="Q277" s="99" t="s">
        <v>4926</v>
      </c>
      <c r="R277" s="95">
        <v>300000</v>
      </c>
    </row>
    <row r="278" spans="17:20">
      <c r="Q278" s="99" t="s">
        <v>981</v>
      </c>
      <c r="R278" s="95">
        <v>1100000</v>
      </c>
    </row>
    <row r="279" spans="17:20">
      <c r="Q279" s="99" t="s">
        <v>4941</v>
      </c>
      <c r="R279" s="95">
        <v>890000</v>
      </c>
    </row>
    <row r="280" spans="17:20">
      <c r="Q280" s="99" t="s">
        <v>4970</v>
      </c>
      <c r="R280" s="95">
        <v>1000000</v>
      </c>
      <c r="T280" t="s">
        <v>25</v>
      </c>
    </row>
    <row r="281" spans="17:20">
      <c r="Q281" s="99" t="s">
        <v>4972</v>
      </c>
      <c r="R281" s="95">
        <v>45436311</v>
      </c>
      <c r="T281" t="s">
        <v>25</v>
      </c>
    </row>
    <row r="282" spans="17:20">
      <c r="Q282" s="99" t="s">
        <v>4972</v>
      </c>
      <c r="R282" s="95">
        <v>-3500000</v>
      </c>
    </row>
    <row r="283" spans="17:20">
      <c r="Q283" s="99"/>
      <c r="R283" s="95"/>
      <c r="T283" t="s">
        <v>25</v>
      </c>
    </row>
    <row r="284" spans="17:20">
      <c r="Q284" s="99"/>
      <c r="R284" s="95">
        <f>SUM(R254:R283)</f>
        <v>413142945</v>
      </c>
      <c r="T284" t="s">
        <v>25</v>
      </c>
    </row>
    <row r="285" spans="17:20">
      <c r="Q285" s="99"/>
      <c r="R285" s="99" t="s">
        <v>6</v>
      </c>
    </row>
    <row r="288" spans="17:20">
      <c r="T288" t="s">
        <v>25</v>
      </c>
    </row>
    <row r="289" spans="20:20">
      <c r="T28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1:I138 G129:G130 G149:G1048576 G139:G140 G142 G96:G120">
    <cfRule type="cellIs" dxfId="11" priority="12" operator="lessThan">
      <formula>0</formula>
    </cfRule>
  </conditionalFormatting>
  <conditionalFormatting sqref="G121">
    <cfRule type="cellIs" dxfId="10" priority="11" operator="lessThan">
      <formula>0</formula>
    </cfRule>
  </conditionalFormatting>
  <conditionalFormatting sqref="G124">
    <cfRule type="cellIs" dxfId="9" priority="3" operator="lessThan">
      <formula>0</formula>
    </cfRule>
  </conditionalFormatting>
  <conditionalFormatting sqref="G122">
    <cfRule type="cellIs" dxfId="8" priority="6" operator="lessThan">
      <formula>0</formula>
    </cfRule>
  </conditionalFormatting>
  <conditionalFormatting sqref="G125 G127">
    <cfRule type="cellIs" dxfId="7" priority="4" operator="lessThan">
      <formula>0</formula>
    </cfRule>
  </conditionalFormatting>
  <conditionalFormatting sqref="G128">
    <cfRule type="cellIs" dxfId="6" priority="1" operator="lessThan">
      <formula>0</formula>
    </cfRule>
  </conditionalFormatting>
  <conditionalFormatting sqref="G123">
    <cfRule type="cellIs" dxfId="5" priority="5" operator="lessThan">
      <formula>0</formula>
    </cfRule>
  </conditionalFormatting>
  <conditionalFormatting sqref="G126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4 S130 S101 S43 S46 S49 S15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topLeftCell="A76" zoomScale="90" zoomScaleNormal="90" workbookViewId="0">
      <selection activeCell="M93" sqref="M93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8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4970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4970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4970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4926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4970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4972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4986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4914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4913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4924</v>
      </c>
      <c r="J83" s="86">
        <f>L83-L82+31412200</f>
        <v>20439704</v>
      </c>
      <c r="K83" s="192" t="s">
        <v>4915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4925</v>
      </c>
      <c r="J84" s="189">
        <f t="shared" si="12"/>
        <v>21224293</v>
      </c>
      <c r="K84" s="190" t="s">
        <v>4926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4940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4954</v>
      </c>
      <c r="J87" s="197">
        <f>L87-L86-20000</f>
        <v>7878257</v>
      </c>
      <c r="K87" s="191" t="s">
        <v>4941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4956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4957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5"/>
      <c r="J90" s="113">
        <f t="shared" ref="J90:J99" si="16">L90-L89</f>
        <v>4840350</v>
      </c>
      <c r="K90" s="215" t="s">
        <v>4970</v>
      </c>
      <c r="L90" s="84">
        <v>685475489</v>
      </c>
      <c r="M90" s="84">
        <v>312030960</v>
      </c>
      <c r="N90" s="113">
        <f t="shared" si="13"/>
        <v>997506449</v>
      </c>
      <c r="O90" s="113">
        <f t="shared" ref="O90:O99" si="17">M90-M89</f>
        <v>-974915</v>
      </c>
      <c r="P90" s="113">
        <f t="shared" ref="P90:P99" si="18">N90-N89</f>
        <v>3865435</v>
      </c>
    </row>
    <row r="91" spans="6:16">
      <c r="I91" s="215"/>
      <c r="J91" s="113">
        <f t="shared" si="16"/>
        <v>-12127865</v>
      </c>
      <c r="K91" s="215" t="s">
        <v>4972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7"/>
        <v>-3210175</v>
      </c>
      <c r="P91" s="113">
        <f t="shared" si="18"/>
        <v>-15338040</v>
      </c>
    </row>
    <row r="92" spans="6:16">
      <c r="I92" s="215"/>
      <c r="J92" s="113">
        <f t="shared" si="16"/>
        <v>11765514</v>
      </c>
      <c r="K92" s="215" t="s">
        <v>4986</v>
      </c>
      <c r="L92" s="84">
        <v>685113138</v>
      </c>
      <c r="M92" s="84">
        <v>311743933</v>
      </c>
      <c r="N92" s="113">
        <f t="shared" ref="N92:N98" si="19">L92+M92</f>
        <v>996857071</v>
      </c>
      <c r="O92" s="113">
        <f t="shared" ref="O92:O98" si="20">M92-M91</f>
        <v>2923148</v>
      </c>
      <c r="P92" s="113">
        <f t="shared" ref="P92:P98" si="21">N92-N91</f>
        <v>14688662</v>
      </c>
    </row>
    <row r="93" spans="6:16">
      <c r="I93" s="215"/>
      <c r="J93" s="113">
        <f t="shared" si="16"/>
        <v>-685113138</v>
      </c>
      <c r="K93" s="215"/>
      <c r="L93" s="84"/>
      <c r="M93" s="84"/>
      <c r="N93" s="113">
        <f t="shared" si="19"/>
        <v>0</v>
      </c>
      <c r="O93" s="113">
        <f t="shared" si="20"/>
        <v>-311743933</v>
      </c>
      <c r="P93" s="113">
        <f t="shared" si="21"/>
        <v>-996857071</v>
      </c>
    </row>
    <row r="94" spans="6:16">
      <c r="I94" s="215"/>
      <c r="J94" s="113">
        <f t="shared" si="16"/>
        <v>0</v>
      </c>
      <c r="K94" s="215"/>
      <c r="L94" s="84"/>
      <c r="M94" s="84"/>
      <c r="N94" s="113">
        <f t="shared" si="19"/>
        <v>0</v>
      </c>
      <c r="O94" s="113">
        <f t="shared" si="20"/>
        <v>0</v>
      </c>
      <c r="P94" s="113">
        <f t="shared" si="21"/>
        <v>0</v>
      </c>
    </row>
    <row r="95" spans="6:16">
      <c r="I95" s="215"/>
      <c r="J95" s="113">
        <f t="shared" si="16"/>
        <v>0</v>
      </c>
      <c r="K95" s="215"/>
      <c r="L95" s="84"/>
      <c r="M95" s="84"/>
      <c r="N95" s="113">
        <f t="shared" si="19"/>
        <v>0</v>
      </c>
      <c r="O95" s="113">
        <f t="shared" si="20"/>
        <v>0</v>
      </c>
      <c r="P95" s="113">
        <f t="shared" si="21"/>
        <v>0</v>
      </c>
    </row>
    <row r="96" spans="6:16">
      <c r="I96" s="215"/>
      <c r="J96" s="113">
        <f t="shared" si="16"/>
        <v>0</v>
      </c>
      <c r="K96" s="215"/>
      <c r="L96" s="84"/>
      <c r="M96" s="84"/>
      <c r="N96" s="113">
        <f t="shared" si="19"/>
        <v>0</v>
      </c>
      <c r="O96" s="113">
        <f t="shared" si="20"/>
        <v>0</v>
      </c>
      <c r="P96" s="113">
        <f t="shared" si="21"/>
        <v>0</v>
      </c>
    </row>
    <row r="97" spans="9:17">
      <c r="I97" s="215"/>
      <c r="J97" s="113">
        <f t="shared" si="16"/>
        <v>0</v>
      </c>
      <c r="K97" s="215"/>
      <c r="L97" s="84"/>
      <c r="M97" s="84"/>
      <c r="N97" s="113">
        <f t="shared" si="19"/>
        <v>0</v>
      </c>
      <c r="O97" s="113">
        <f t="shared" si="20"/>
        <v>0</v>
      </c>
      <c r="P97" s="113">
        <f t="shared" si="21"/>
        <v>0</v>
      </c>
      <c r="Q97" t="s">
        <v>25</v>
      </c>
    </row>
    <row r="98" spans="9:17">
      <c r="I98" s="215"/>
      <c r="J98" s="113">
        <f t="shared" si="16"/>
        <v>0</v>
      </c>
      <c r="K98" s="215"/>
      <c r="L98" s="84"/>
      <c r="M98" s="84"/>
      <c r="N98" s="113">
        <f t="shared" si="19"/>
        <v>0</v>
      </c>
      <c r="O98" s="113">
        <f t="shared" si="20"/>
        <v>0</v>
      </c>
      <c r="P98" s="113">
        <f t="shared" si="21"/>
        <v>0</v>
      </c>
    </row>
    <row r="99" spans="9:17">
      <c r="I99" s="215"/>
      <c r="J99" s="113">
        <f t="shared" si="16"/>
        <v>0</v>
      </c>
      <c r="K99" s="215"/>
      <c r="L99" s="84">
        <v>0</v>
      </c>
      <c r="M99" s="84"/>
      <c r="N99" s="215"/>
      <c r="O99" s="113">
        <f t="shared" si="17"/>
        <v>0</v>
      </c>
      <c r="P99" s="113">
        <f t="shared" si="18"/>
        <v>0</v>
      </c>
    </row>
    <row r="103" spans="9:17">
      <c r="N103" t="s">
        <v>25</v>
      </c>
      <c r="O103" t="s">
        <v>25</v>
      </c>
    </row>
    <row r="104" spans="9:17">
      <c r="P104" t="s">
        <v>25</v>
      </c>
    </row>
    <row r="105" spans="9:17">
      <c r="N105" t="s">
        <v>25</v>
      </c>
    </row>
    <row r="106" spans="9:17">
      <c r="N106" t="s">
        <v>25</v>
      </c>
      <c r="O10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34" workbookViewId="0">
      <selection activeCell="C55" sqref="C5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758</v>
      </c>
      <c r="F2" s="99">
        <f t="shared" ref="F2:F43" si="0">IF(B2&gt;0,1,0)</f>
        <v>1</v>
      </c>
      <c r="G2" s="99">
        <f>B2*(E2-F2)</f>
        <v>37850000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752</v>
      </c>
      <c r="F3" s="99">
        <f t="shared" si="0"/>
        <v>1</v>
      </c>
      <c r="G3" s="99">
        <f t="shared" ref="G3:G55" si="2">B3*(E3-F3)</f>
        <v>11265000000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750</v>
      </c>
      <c r="F4" s="99">
        <f t="shared" si="0"/>
        <v>0</v>
      </c>
      <c r="G4" s="99">
        <f t="shared" si="2"/>
        <v>-2250000000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749</v>
      </c>
      <c r="F5" s="99">
        <f t="shared" si="0"/>
        <v>0</v>
      </c>
      <c r="G5" s="99">
        <f t="shared" si="2"/>
        <v>-2397474100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747</v>
      </c>
      <c r="F6" s="99">
        <f t="shared" si="0"/>
        <v>0</v>
      </c>
      <c r="G6" s="99">
        <f>B6*(E6-F6)</f>
        <v>-2241672300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745</v>
      </c>
      <c r="F7" s="99">
        <f t="shared" si="0"/>
        <v>0</v>
      </c>
      <c r="G7" s="99">
        <f t="shared" si="2"/>
        <v>-4325395500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723</v>
      </c>
      <c r="F8" s="99">
        <f t="shared" si="0"/>
        <v>1</v>
      </c>
      <c r="G8" s="99">
        <f t="shared" si="2"/>
        <v>39289074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451</v>
      </c>
      <c r="F9" s="99">
        <f t="shared" si="0"/>
        <v>0</v>
      </c>
      <c r="G9" s="99">
        <f>B9*(E9-F9)</f>
        <v>-36080000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386</v>
      </c>
      <c r="F10" s="99">
        <f t="shared" si="0"/>
        <v>1</v>
      </c>
      <c r="G10" s="99">
        <f t="shared" si="2"/>
        <v>327250000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372</v>
      </c>
      <c r="F11" s="99">
        <f t="shared" si="0"/>
        <v>0</v>
      </c>
      <c r="G11" s="99">
        <f t="shared" si="2"/>
        <v>-260400000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366</v>
      </c>
      <c r="F12" s="99">
        <f t="shared" si="0"/>
        <v>1</v>
      </c>
      <c r="G12" s="99">
        <f t="shared" si="2"/>
        <v>365000000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358</v>
      </c>
      <c r="F13" s="99">
        <f t="shared" si="0"/>
        <v>1</v>
      </c>
      <c r="G13" s="99">
        <f t="shared" si="2"/>
        <v>1733949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357</v>
      </c>
      <c r="F14" s="99">
        <f t="shared" si="0"/>
        <v>0</v>
      </c>
      <c r="G14" s="99">
        <f t="shared" si="2"/>
        <v>-68187000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342</v>
      </c>
      <c r="F15" s="99">
        <f t="shared" si="0"/>
        <v>0</v>
      </c>
      <c r="G15" s="99">
        <f t="shared" si="2"/>
        <v>-68400000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326</v>
      </c>
      <c r="F16" s="99">
        <f t="shared" si="0"/>
        <v>0</v>
      </c>
      <c r="G16" s="99">
        <f t="shared" si="2"/>
        <v>-226360056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319</v>
      </c>
      <c r="F17" s="99">
        <f t="shared" si="0"/>
        <v>1</v>
      </c>
      <c r="G17" s="99">
        <f t="shared" si="2"/>
        <v>15900000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296</v>
      </c>
      <c r="F18" s="99">
        <f t="shared" si="0"/>
        <v>1</v>
      </c>
      <c r="G18" s="99">
        <f t="shared" si="2"/>
        <v>308865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288</v>
      </c>
      <c r="F19" s="99">
        <f t="shared" si="0"/>
        <v>1</v>
      </c>
      <c r="G19" s="99">
        <f t="shared" si="2"/>
        <v>225438500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287</v>
      </c>
      <c r="F20" s="99">
        <f t="shared" si="0"/>
        <v>0</v>
      </c>
      <c r="G20" s="99">
        <f t="shared" si="2"/>
        <v>-16502500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287</v>
      </c>
      <c r="F21" s="99">
        <f t="shared" si="0"/>
        <v>1</v>
      </c>
      <c r="G21" s="99">
        <f t="shared" si="2"/>
        <v>1744314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277</v>
      </c>
      <c r="F22" s="99">
        <f t="shared" si="0"/>
        <v>0</v>
      </c>
      <c r="G22" s="99">
        <f t="shared" si="2"/>
        <v>-23545000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273</v>
      </c>
      <c r="F23" s="99">
        <f t="shared" si="0"/>
        <v>0</v>
      </c>
      <c r="G23" s="99">
        <f t="shared" si="2"/>
        <v>-49140000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273</v>
      </c>
      <c r="F24" s="99">
        <f t="shared" si="0"/>
        <v>0</v>
      </c>
      <c r="G24" s="99">
        <f t="shared" si="2"/>
        <v>-18837000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267</v>
      </c>
      <c r="F25" s="99">
        <f t="shared" si="0"/>
        <v>0</v>
      </c>
      <c r="G25" s="99">
        <f t="shared" si="2"/>
        <v>-2296200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267</v>
      </c>
      <c r="F26" s="99">
        <f t="shared" si="0"/>
        <v>0</v>
      </c>
      <c r="G26" s="99">
        <f t="shared" si="2"/>
        <v>-10680000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267</v>
      </c>
      <c r="F27" s="99">
        <f t="shared" si="0"/>
        <v>0</v>
      </c>
      <c r="G27" s="99">
        <f t="shared" si="2"/>
        <v>-24697500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267</v>
      </c>
      <c r="F28" s="99">
        <f t="shared" si="0"/>
        <v>0</v>
      </c>
      <c r="G28" s="99">
        <f t="shared" si="2"/>
        <v>-12549000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266</v>
      </c>
      <c r="F29" s="99">
        <f t="shared" si="0"/>
        <v>0</v>
      </c>
      <c r="G29" s="99">
        <f t="shared" si="2"/>
        <v>-20615000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266</v>
      </c>
      <c r="F30" s="99">
        <f t="shared" si="0"/>
        <v>0</v>
      </c>
      <c r="G30" s="99">
        <f t="shared" si="2"/>
        <v>-15162000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266</v>
      </c>
      <c r="F31" s="99">
        <f t="shared" si="0"/>
        <v>0</v>
      </c>
      <c r="G31" s="99">
        <f t="shared" si="2"/>
        <v>-11970000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266</v>
      </c>
      <c r="F32" s="99">
        <f t="shared" si="0"/>
        <v>0</v>
      </c>
      <c r="G32" s="99">
        <f t="shared" si="2"/>
        <v>-7980000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263</v>
      </c>
      <c r="F33" s="99">
        <f t="shared" si="0"/>
        <v>1</v>
      </c>
      <c r="G33" s="99">
        <f t="shared" si="2"/>
        <v>262000000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262</v>
      </c>
      <c r="F34" s="99">
        <f t="shared" si="0"/>
        <v>0</v>
      </c>
      <c r="G34" s="99">
        <f t="shared" si="2"/>
        <v>-20881400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255</v>
      </c>
      <c r="F35" s="99">
        <f t="shared" si="0"/>
        <v>0</v>
      </c>
      <c r="G35" s="99">
        <f t="shared" si="2"/>
        <v>-302685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250</v>
      </c>
      <c r="F36" s="99">
        <f t="shared" si="0"/>
        <v>0</v>
      </c>
      <c r="G36" s="99">
        <f t="shared" si="2"/>
        <v>-13815500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249</v>
      </c>
      <c r="F37" s="99">
        <f t="shared" si="0"/>
        <v>0</v>
      </c>
      <c r="G37" s="99">
        <f t="shared" si="2"/>
        <v>-3909300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242</v>
      </c>
      <c r="F38" s="99">
        <f t="shared" si="0"/>
        <v>0</v>
      </c>
      <c r="G38" s="99">
        <f t="shared" si="2"/>
        <v>-42592000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241</v>
      </c>
      <c r="F39" s="99">
        <f t="shared" si="0"/>
        <v>0</v>
      </c>
      <c r="G39" s="99">
        <f t="shared" si="2"/>
        <v>-16532600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234</v>
      </c>
      <c r="F40" s="99">
        <f t="shared" si="0"/>
        <v>0</v>
      </c>
      <c r="G40" s="99">
        <f t="shared" si="2"/>
        <v>-828360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230</v>
      </c>
      <c r="F41" s="99">
        <f t="shared" si="0"/>
        <v>0</v>
      </c>
      <c r="G41" s="99">
        <f t="shared" si="2"/>
        <v>-72473230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228</v>
      </c>
      <c r="F42" s="99">
        <f t="shared" si="0"/>
        <v>0</v>
      </c>
      <c r="G42" s="99">
        <f t="shared" si="2"/>
        <v>-94848000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95</v>
      </c>
      <c r="F43" s="99">
        <f t="shared" si="0"/>
        <v>1</v>
      </c>
      <c r="G43" s="99">
        <f t="shared" si="2"/>
        <v>9400000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4" si="6">E45+D44</f>
        <v>37</v>
      </c>
      <c r="F44" s="99">
        <f t="shared" ref="F44:F54" si="7">IF(B44&gt;0,1,0)</f>
        <v>0</v>
      </c>
      <c r="G44" s="99">
        <f t="shared" ref="G44:G54" si="8">B44*(E44-F44)</f>
        <v>-1147000</v>
      </c>
    </row>
    <row r="45" spans="1:14">
      <c r="A45" s="99" t="s">
        <v>4915</v>
      </c>
      <c r="B45" s="113">
        <v>2060725</v>
      </c>
      <c r="C45" s="99" t="s">
        <v>4920</v>
      </c>
      <c r="D45" s="99">
        <v>6</v>
      </c>
      <c r="E45" s="99">
        <f t="shared" si="6"/>
        <v>18</v>
      </c>
      <c r="F45" s="99">
        <f t="shared" si="7"/>
        <v>1</v>
      </c>
      <c r="G45" s="99">
        <f t="shared" si="8"/>
        <v>35032325</v>
      </c>
    </row>
    <row r="46" spans="1:14">
      <c r="A46" s="99" t="s">
        <v>4952</v>
      </c>
      <c r="B46" s="113">
        <v>-1073169</v>
      </c>
      <c r="C46" s="99" t="s">
        <v>4953</v>
      </c>
      <c r="D46" s="99">
        <v>4</v>
      </c>
      <c r="E46" s="99">
        <f t="shared" si="6"/>
        <v>12</v>
      </c>
      <c r="F46" s="99">
        <f t="shared" si="7"/>
        <v>0</v>
      </c>
      <c r="G46" s="99">
        <f t="shared" si="8"/>
        <v>-12878028</v>
      </c>
    </row>
    <row r="47" spans="1:14">
      <c r="A47" s="99" t="s">
        <v>4941</v>
      </c>
      <c r="B47" s="113">
        <v>-178820</v>
      </c>
      <c r="C47" s="99" t="s">
        <v>4014</v>
      </c>
      <c r="D47" s="99">
        <v>0</v>
      </c>
      <c r="E47" s="99">
        <f t="shared" si="6"/>
        <v>8</v>
      </c>
      <c r="F47" s="99">
        <f t="shared" si="7"/>
        <v>0</v>
      </c>
      <c r="G47" s="99">
        <f t="shared" si="8"/>
        <v>-1430560</v>
      </c>
      <c r="L47" t="s">
        <v>25</v>
      </c>
    </row>
    <row r="48" spans="1:14">
      <c r="A48" s="99" t="s">
        <v>4941</v>
      </c>
      <c r="B48" s="113">
        <v>-25000</v>
      </c>
      <c r="C48" s="99" t="s">
        <v>751</v>
      </c>
      <c r="D48" s="99">
        <v>4</v>
      </c>
      <c r="E48" s="99">
        <f t="shared" si="6"/>
        <v>8</v>
      </c>
      <c r="F48" s="99">
        <f t="shared" si="7"/>
        <v>0</v>
      </c>
      <c r="G48" s="99">
        <f t="shared" si="8"/>
        <v>-200000</v>
      </c>
      <c r="L48" t="s">
        <v>25</v>
      </c>
    </row>
    <row r="49" spans="1:7">
      <c r="A49" s="99" t="s">
        <v>4957</v>
      </c>
      <c r="B49" s="113">
        <v>-49500</v>
      </c>
      <c r="C49" s="99" t="s">
        <v>452</v>
      </c>
      <c r="D49" s="99">
        <v>2</v>
      </c>
      <c r="E49" s="99">
        <f t="shared" si="6"/>
        <v>4</v>
      </c>
      <c r="F49" s="99">
        <f t="shared" si="7"/>
        <v>0</v>
      </c>
      <c r="G49" s="99">
        <f t="shared" si="8"/>
        <v>-198000</v>
      </c>
    </row>
    <row r="50" spans="1:7">
      <c r="A50" s="99" t="s">
        <v>4964</v>
      </c>
      <c r="B50" s="113">
        <v>-4500</v>
      </c>
      <c r="C50" s="99" t="s">
        <v>452</v>
      </c>
      <c r="D50" s="99">
        <v>1</v>
      </c>
      <c r="E50" s="99">
        <f t="shared" si="6"/>
        <v>2</v>
      </c>
      <c r="F50" s="99">
        <f t="shared" si="7"/>
        <v>0</v>
      </c>
      <c r="G50" s="99">
        <f t="shared" si="8"/>
        <v>-9000</v>
      </c>
    </row>
    <row r="51" spans="1:7">
      <c r="A51" s="99" t="s">
        <v>4965</v>
      </c>
      <c r="B51" s="113">
        <v>-328000</v>
      </c>
      <c r="C51" s="99" t="s">
        <v>452</v>
      </c>
      <c r="D51" s="99">
        <v>1</v>
      </c>
      <c r="E51" s="99">
        <f t="shared" si="6"/>
        <v>1</v>
      </c>
      <c r="F51" s="99">
        <f t="shared" si="7"/>
        <v>0</v>
      </c>
      <c r="G51" s="99">
        <f t="shared" si="8"/>
        <v>-328000</v>
      </c>
    </row>
    <row r="52" spans="1:7">
      <c r="A52" s="99" t="s">
        <v>4972</v>
      </c>
      <c r="B52" s="113">
        <v>-195330</v>
      </c>
      <c r="C52" s="99" t="s">
        <v>4979</v>
      </c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284080</v>
      </c>
      <c r="C56" s="99"/>
      <c r="D56" s="99"/>
      <c r="E56" s="99"/>
      <c r="F56" s="99"/>
      <c r="G56" s="95">
        <f>SUM(G2:G33)</f>
        <v>453571546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598379.34828496038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4915</v>
      </c>
      <c r="B28" s="18">
        <v>433375</v>
      </c>
      <c r="C28" s="18">
        <v>0</v>
      </c>
      <c r="D28" s="113">
        <f t="shared" si="0"/>
        <v>433375</v>
      </c>
      <c r="E28" s="19" t="s">
        <v>4920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4926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4926</v>
      </c>
      <c r="B30" s="18">
        <v>-300000</v>
      </c>
      <c r="C30" s="18">
        <v>0</v>
      </c>
      <c r="D30" s="113">
        <f t="shared" si="0"/>
        <v>-300000</v>
      </c>
      <c r="E30" s="19" t="s">
        <v>4929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4926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4938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4912</v>
      </c>
    </row>
    <row r="74" spans="1:22">
      <c r="D74" s="18">
        <v>-200000</v>
      </c>
      <c r="E74" s="96" t="s">
        <v>4921</v>
      </c>
    </row>
    <row r="75" spans="1:22">
      <c r="D75" s="18">
        <v>-2000000</v>
      </c>
      <c r="E75" s="96" t="s">
        <v>4927</v>
      </c>
    </row>
    <row r="76" spans="1:22">
      <c r="D76" s="18">
        <v>92800</v>
      </c>
      <c r="E76" s="96" t="s">
        <v>4934</v>
      </c>
    </row>
    <row r="77" spans="1:22">
      <c r="D77" s="18">
        <v>1417727</v>
      </c>
      <c r="E77" s="96" t="s">
        <v>4938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D28" sqref="D28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4926</v>
      </c>
      <c r="B25" s="95">
        <v>0</v>
      </c>
      <c r="C25" s="95">
        <v>1000</v>
      </c>
      <c r="D25" s="99" t="s">
        <v>315</v>
      </c>
    </row>
    <row r="26" spans="1:9">
      <c r="A26" s="99" t="s">
        <v>4970</v>
      </c>
      <c r="B26" s="95">
        <v>0</v>
      </c>
      <c r="C26" s="95">
        <v>12000</v>
      </c>
      <c r="D26" s="99" t="s">
        <v>4985</v>
      </c>
    </row>
    <row r="27" spans="1:9">
      <c r="A27" s="99" t="s">
        <v>4972</v>
      </c>
      <c r="B27" s="95">
        <v>0</v>
      </c>
      <c r="C27" s="95">
        <v>1000</v>
      </c>
      <c r="D27" s="99" t="s">
        <v>315</v>
      </c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39000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2019-04-08T10:46:22Z</dcterms:modified>
</cp:coreProperties>
</file>