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L103" i="18" l="1"/>
  <c r="J123" i="18"/>
  <c r="P147" i="18"/>
  <c r="W205" i="18"/>
  <c r="W204" i="18"/>
  <c r="G122" i="18"/>
  <c r="G121" i="18"/>
  <c r="G120" i="18"/>
  <c r="G119" i="18"/>
  <c r="J122" i="18"/>
  <c r="J121" i="18"/>
  <c r="J120" i="18"/>
  <c r="J119" i="18"/>
  <c r="G63" i="52"/>
  <c r="Z40" i="52" l="1"/>
  <c r="Z39" i="52"/>
  <c r="Z38" i="52"/>
  <c r="AD38" i="52"/>
  <c r="AD39" i="52"/>
  <c r="AD40" i="52"/>
  <c r="AE40" i="52"/>
  <c r="AE39" i="52"/>
  <c r="AE38" i="52"/>
  <c r="R166" i="18" l="1"/>
  <c r="R188" i="18"/>
  <c r="O69" i="52"/>
  <c r="O70" i="52"/>
  <c r="O71" i="52"/>
  <c r="O72" i="52"/>
  <c r="O73" i="52"/>
  <c r="O74" i="52"/>
  <c r="O75" i="52"/>
  <c r="O76" i="52"/>
  <c r="O68" i="52"/>
  <c r="J76" i="52"/>
  <c r="J66" i="52"/>
  <c r="J67" i="52"/>
  <c r="J68" i="52"/>
  <c r="J69" i="52"/>
  <c r="J70" i="52"/>
  <c r="J71" i="52"/>
  <c r="J72" i="52"/>
  <c r="J73" i="52"/>
  <c r="J74" i="52"/>
  <c r="J75" i="52"/>
  <c r="J65" i="52"/>
  <c r="N69" i="52"/>
  <c r="N70" i="52"/>
  <c r="N71" i="52"/>
  <c r="N72" i="52"/>
  <c r="N73" i="52"/>
  <c r="N74" i="52"/>
  <c r="N75" i="52"/>
  <c r="N68" i="52"/>
  <c r="W203" i="18" l="1"/>
  <c r="W202" i="18"/>
  <c r="Y211" i="18"/>
  <c r="M48" i="52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C24" i="56" l="1"/>
  <c r="B24" i="56"/>
  <c r="R216" i="18" l="1"/>
  <c r="R241" i="18"/>
  <c r="W201" i="18"/>
  <c r="W200" i="18"/>
  <c r="N34" i="52"/>
  <c r="N33" i="52"/>
  <c r="P42" i="52"/>
  <c r="X215" i="18"/>
  <c r="AR14" i="18" l="1"/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33" i="57" l="1"/>
  <c r="H38" i="57" s="1"/>
  <c r="D315" i="20"/>
  <c r="D314" i="20"/>
  <c r="I2" i="57" l="1"/>
  <c r="I33" i="57" s="1"/>
  <c r="I38" i="57" s="1"/>
  <c r="D32" i="57"/>
  <c r="M41" i="52"/>
  <c r="Z26" i="52"/>
  <c r="AD32" i="52"/>
  <c r="Z32" i="52"/>
  <c r="AE32" i="52"/>
  <c r="W199" i="18" l="1"/>
  <c r="W198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AL201" i="18" l="1"/>
  <c r="AM201" i="18" s="1"/>
  <c r="AL200" i="18"/>
  <c r="AM200" i="18" s="1"/>
  <c r="AL202" i="18"/>
  <c r="AL199" i="18" s="1"/>
  <c r="AM199" i="18" s="1"/>
  <c r="U207" i="18"/>
  <c r="W197" i="18"/>
  <c r="W196" i="18"/>
  <c r="N30" i="52"/>
  <c r="N29" i="52"/>
  <c r="AD27" i="52"/>
  <c r="Z27" i="52"/>
  <c r="AE27" i="52"/>
  <c r="AM202" i="18" l="1"/>
  <c r="W195" i="18"/>
  <c r="W194" i="18"/>
  <c r="L47" i="52"/>
  <c r="N28" i="52"/>
  <c r="N27" i="52"/>
  <c r="AD26" i="52" l="1"/>
  <c r="AE26" i="52"/>
  <c r="N38" i="18"/>
  <c r="D313" i="20" l="1"/>
  <c r="L36" i="18" l="1"/>
  <c r="L112" i="18"/>
  <c r="M112" i="18" s="1"/>
  <c r="W193" i="18" l="1"/>
  <c r="W192" i="18"/>
  <c r="AJ148" i="18"/>
  <c r="N24" i="52"/>
  <c r="N26" i="52"/>
  <c r="N25" i="52"/>
  <c r="T223" i="18" l="1"/>
  <c r="N64" i="18"/>
  <c r="K111" i="18"/>
  <c r="L105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91" i="18"/>
  <c r="W190" i="18"/>
  <c r="N23" i="52"/>
  <c r="N22" i="52"/>
  <c r="Z24" i="52"/>
  <c r="AD24" i="52"/>
  <c r="AE24" i="52"/>
  <c r="K324" i="20" l="1"/>
  <c r="J324" i="20"/>
  <c r="G323" i="20"/>
  <c r="I324" i="20"/>
  <c r="AL198" i="18"/>
  <c r="W189" i="18"/>
  <c r="W188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7" i="18"/>
  <c r="W186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5" i="18"/>
  <c r="W184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83" i="18"/>
  <c r="W182" i="18"/>
  <c r="D303" i="20"/>
  <c r="D302" i="20"/>
  <c r="W181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79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78" i="18" l="1"/>
  <c r="W177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6" i="18"/>
  <c r="W175" i="18"/>
  <c r="H38" i="55" l="1"/>
  <c r="I2" i="55"/>
  <c r="I33" i="55" s="1"/>
  <c r="I38" i="55" s="1"/>
  <c r="D32" i="55"/>
  <c r="D293" i="20"/>
  <c r="W174" i="18" l="1"/>
  <c r="N50" i="18"/>
  <c r="M107" i="18" s="1"/>
  <c r="N53" i="18"/>
  <c r="N107" i="18" l="1"/>
  <c r="D292" i="20"/>
  <c r="C8" i="36"/>
  <c r="W173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3" i="18"/>
  <c r="D281" i="20" l="1"/>
  <c r="D280" i="20" l="1"/>
  <c r="AD5" i="52" l="1"/>
  <c r="B38" i="52"/>
  <c r="D279" i="20"/>
  <c r="W148" i="18" l="1"/>
  <c r="W171" i="18"/>
  <c r="D278" i="20"/>
  <c r="W150" i="18" l="1"/>
  <c r="W14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3" i="18"/>
  <c r="S14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19" i="18"/>
  <c r="N120" i="18"/>
  <c r="N121" i="18"/>
  <c r="N122" i="18"/>
  <c r="N123" i="18"/>
  <c r="N124" i="18"/>
  <c r="N125" i="18"/>
  <c r="N126" i="18"/>
  <c r="N118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0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9" i="18"/>
  <c r="AM124" i="18" l="1"/>
  <c r="AL123" i="18"/>
  <c r="AM123" i="18" l="1"/>
  <c r="AL122" i="18"/>
  <c r="AL121" i="18" l="1"/>
  <c r="AM122" i="18"/>
  <c r="W163" i="18"/>
  <c r="W164" i="18"/>
  <c r="W165" i="18"/>
  <c r="W166" i="18"/>
  <c r="W167" i="18"/>
  <c r="W168" i="18"/>
  <c r="W180" i="18"/>
  <c r="W162" i="18"/>
  <c r="AM121" i="18" l="1"/>
  <c r="AL120" i="18"/>
  <c r="N55" i="18"/>
  <c r="AM120" i="18" l="1"/>
  <c r="AL119" i="18"/>
  <c r="AM119" i="18" l="1"/>
  <c r="AL118" i="18"/>
  <c r="T146" i="18"/>
  <c r="S52" i="18"/>
  <c r="S53" i="18" s="1"/>
  <c r="S54" i="18" s="1"/>
  <c r="R167" i="18"/>
  <c r="R165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4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63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0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4" i="18"/>
  <c r="Q138" i="18" s="1"/>
  <c r="R162" i="18" l="1"/>
  <c r="R172" i="18" s="1"/>
  <c r="M103" i="18"/>
  <c r="N103" i="18" s="1"/>
  <c r="N112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23" i="18" l="1"/>
  <c r="T210" i="18"/>
  <c r="G304" i="20"/>
  <c r="I305" i="20"/>
  <c r="K305" i="20"/>
  <c r="J305" i="20"/>
  <c r="S112" i="18"/>
  <c r="S113" i="18" s="1"/>
  <c r="AL73" i="18"/>
  <c r="AM74" i="18"/>
  <c r="N86" i="18"/>
  <c r="V45" i="18" l="1"/>
  <c r="V44" i="18"/>
  <c r="V43" i="18"/>
  <c r="V39" i="18"/>
  <c r="X39" i="18" s="1"/>
  <c r="V42" i="18"/>
  <c r="V41" i="18"/>
  <c r="V40" i="18"/>
  <c r="W39" i="18"/>
  <c r="V38" i="18"/>
  <c r="V37" i="18"/>
  <c r="S114" i="18"/>
  <c r="S115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3" i="18"/>
  <c r="V223" i="18"/>
  <c r="V31" i="18"/>
  <c r="W31" i="18" s="1"/>
  <c r="V59" i="18"/>
  <c r="V113" i="18"/>
  <c r="V111" i="18"/>
  <c r="V110" i="18"/>
  <c r="V109" i="18"/>
  <c r="V108" i="18"/>
  <c r="V112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7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X43" i="18" l="1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4" i="18"/>
  <c r="X114" i="18" s="1"/>
  <c r="S116" i="18"/>
  <c r="V115" i="18"/>
  <c r="W115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50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2" i="18"/>
  <c r="W112" i="18"/>
  <c r="W111" i="18"/>
  <c r="X111" i="18"/>
  <c r="W109" i="18"/>
  <c r="X109" i="18"/>
  <c r="W113" i="18"/>
  <c r="X113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7" i="18"/>
  <c r="X137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9" i="18"/>
  <c r="N34" i="18" s="1"/>
  <c r="S148" i="18"/>
  <c r="U148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4" i="18" l="1"/>
  <c r="X115" i="18"/>
  <c r="S117" i="18"/>
  <c r="V116" i="18"/>
  <c r="N63" i="18"/>
  <c r="U150" i="18"/>
  <c r="L21" i="18"/>
  <c r="G301" i="20"/>
  <c r="I302" i="20"/>
  <c r="K302" i="20"/>
  <c r="J302" i="20"/>
  <c r="U149" i="18"/>
  <c r="V149" i="18" s="1"/>
  <c r="AL70" i="18"/>
  <c r="AM71" i="18"/>
  <c r="X116" i="18" l="1"/>
  <c r="W116" i="18"/>
  <c r="S118" i="18"/>
  <c r="V11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7" i="18" l="1"/>
  <c r="X117" i="18"/>
  <c r="S119" i="18"/>
  <c r="V118" i="18"/>
  <c r="G299" i="20"/>
  <c r="I300" i="20"/>
  <c r="K300" i="20"/>
  <c r="J300" i="20"/>
  <c r="AL68" i="18"/>
  <c r="AM69" i="18"/>
  <c r="N2" i="33"/>
  <c r="W118" i="18" l="1"/>
  <c r="X118" i="18"/>
  <c r="S120" i="18"/>
  <c r="V11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9" i="18" l="1"/>
  <c r="W119" i="18"/>
  <c r="S121" i="18"/>
  <c r="V120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G45" i="14" s="1"/>
  <c r="F46" i="14"/>
  <c r="G46" i="14" s="1"/>
  <c r="E47" i="14"/>
  <c r="E46" i="14" s="1"/>
  <c r="B48" i="14"/>
  <c r="W120" i="18" l="1"/>
  <c r="X120" i="18"/>
  <c r="S122" i="18"/>
  <c r="V121" i="18"/>
  <c r="I297" i="20"/>
  <c r="K297" i="20"/>
  <c r="J297" i="20"/>
  <c r="G296" i="20"/>
  <c r="AL65" i="18"/>
  <c r="AM66" i="18"/>
  <c r="E45" i="14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S127" i="18"/>
  <c r="X125" i="18"/>
  <c r="W125" i="18"/>
  <c r="J292" i="20"/>
  <c r="I292" i="20"/>
  <c r="G291" i="20"/>
  <c r="K292" i="20"/>
  <c r="AM61" i="18"/>
  <c r="AL60" i="18"/>
  <c r="E40" i="14"/>
  <c r="G40" i="14" s="1"/>
  <c r="W126" i="18" l="1"/>
  <c r="V127" i="18"/>
  <c r="W127" i="18" s="1"/>
  <c r="S128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8" i="18" l="1"/>
  <c r="S129" i="18"/>
  <c r="W128" i="18"/>
  <c r="X128" i="18"/>
  <c r="X127" i="18"/>
  <c r="J290" i="20"/>
  <c r="G289" i="20"/>
  <c r="I290" i="20"/>
  <c r="K290" i="20"/>
  <c r="AM59" i="18"/>
  <c r="AL58" i="18"/>
  <c r="E38" i="14"/>
  <c r="G38" i="14" s="1"/>
  <c r="S130" i="18" l="1"/>
  <c r="V129" i="18"/>
  <c r="G288" i="20"/>
  <c r="K289" i="20"/>
  <c r="J289" i="20"/>
  <c r="I289" i="20"/>
  <c r="AL57" i="18"/>
  <c r="AM58" i="18"/>
  <c r="E37" i="14"/>
  <c r="G37" i="14" s="1"/>
  <c r="W129" i="18" l="1"/>
  <c r="X129" i="18"/>
  <c r="S131" i="18"/>
  <c r="V130" i="18"/>
  <c r="J288" i="20"/>
  <c r="K288" i="20"/>
  <c r="G287" i="20"/>
  <c r="I288" i="20"/>
  <c r="AL56" i="18"/>
  <c r="AM57" i="18"/>
  <c r="E36" i="14"/>
  <c r="G36" i="14" s="1"/>
  <c r="B105" i="13"/>
  <c r="W130" i="18" l="1"/>
  <c r="X130" i="18"/>
  <c r="S132" i="18"/>
  <c r="V132" i="18" s="1"/>
  <c r="V131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1" i="18" l="1"/>
  <c r="X131" i="18"/>
  <c r="W132" i="18"/>
  <c r="X132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8" i="18"/>
  <c r="V150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<sst xmlns="http://schemas.openxmlformats.org/spreadsheetml/2006/main" count="11059" uniqueCount="4860">
  <si>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</si>
  <si>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</si>
  <si>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</si>
  <si>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</si>
  <si>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</si>
  <si>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</si>
  <si>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</si>
  <si>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</si>
  <si>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</si>
  <si>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</si>
  <si>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</si>
  <si>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</si>
  <si>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</si>
  <si>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</si>
  <si>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</si>
  <si>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</si>
  <si>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</si>
  <si>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</si>
  <si>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</si>
  <si>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</si>
  <si>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</si>
  <si>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</si>
  <si>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</si>
  <si>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</si>
  <si>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</si>
  <si>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</si>
  <si>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</si>
  <si>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</si>
  <si>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</si>
  <si>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</si>
  <si>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</si>
  <si>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</si>
  <si>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</si>
  <si>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</si>
  <si>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</si>
  <si>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</si>
  <si>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</si>
  <si>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</si>
  <si>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</si>
  <si>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</si>
  <si>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</si>
  <si>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</si>
  <si>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</si>
  <si>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</si>
  <si>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</si>
  <si>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</si>
  <si>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</si>
  <si>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</si>
  <si>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</si>
  <si>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</si>
  <si>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</si>
  <si>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</si>
  <si>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</si>
  <si>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</si>
  <si>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</si>
  <si>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</si>
  <si>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</si>
  <si>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</si>
  <si>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</si>
  <si>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</si>
  <si>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</si>
  <si>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</si>
  <si>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</si>
  <si>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</si>
  <si>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</si>
  <si>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</si>
  <si>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</si>
  <si>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</si>
  <si>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</si>
  <si>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</si>
  <si>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</si>
  <si>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</si>
  <si>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</si>
  <si>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</si>
  <si>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</si>
  <si>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</si>
  <si>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</si>
  <si>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</si>
  <si>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</si>
  <si>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</si>
  <si>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</si>
  <si>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</si>
  <si>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</si>
  <si>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</si>
  <si>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</si>
  <si>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</si>
  <si>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</si>
  <si>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</si>
  <si>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</si>
  <si>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</si>
  <si>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</si>
  <si>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</si>
  <si>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</si>
  <si>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</si>
  <si>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</si>
  <si>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</si>
  <si>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</si>
  <si>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</si>
  <si>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</si>
  <si>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</si>
  <si>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</si>
  <si>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</si>
  <si>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</si>
  <si>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</si>
  <si>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</si>
  <si>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</si>
  <si>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</si>
  <si>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</si>
  <si>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</si>
  <si>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</si>
  <si>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</si>
  <si>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</si>
  <si>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</si>
  <si>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</si>
  <si>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</si>
  <si>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</si>
  <si>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</si>
  <si>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</si>
  <si>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</si>
  <si>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</si>
  <si>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</si>
  <si>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</si>
  <si>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</si>
  <si>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</si>
  <si>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</si>
  <si>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</si>
  <si>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</si>
  <si>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</si>
  <si>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</si>
  <si>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</si>
  <si>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</si>
  <si>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</si>
  <si>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</si>
  <si>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</si>
  <si>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</si>
  <si>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</si>
  <si>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</si>
  <si>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</si>
  <si>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</si>
  <si>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</si>
  <si>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</si>
  <si>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</si>
  <si>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</si>
  <si>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</si>
  <si>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</si>
  <si>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</si>
  <si>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</si>
  <si>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</si>
  <si>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</si>
  <si>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</si>
  <si>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</si>
  <si>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</si>
  <si>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</si>
  <si>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</si>
  <si>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</si>
  <si>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</si>
  <si>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</si>
  <si>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</si>
  <si>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</si>
  <si>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</si>
  <si>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</si>
  <si>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</si>
  <si>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</si>
  <si>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</si>
  <si>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</si>
  <si>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</si>
  <si>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</si>
  <si>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</si>
  <si>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</si>
  <si>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</si>
  <si>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</si>
  <si>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</si>
  <si>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</si>
  <si>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</si>
  <si>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</si>
  <si>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</si>
  <si>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</si>
  <si>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</si>
  <si>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</si>
  <si>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</si>
  <si>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</si>
  <si>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</si>
  <si>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</si>
  <si>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</si>
  <si>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</si>
  <si>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</si>
  <si>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</si>
  <si>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</si>
  <si>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</si>
  <si>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</si>
  <si>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</si>
  <si>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</si>
  <si>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</si>
  <si>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</si>
  <si>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</si>
  <si>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</si>
  <si>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</si>
  <si>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</si>
  <si>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</si>
  <si>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</si>
  <si>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</si>
  <si>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</si>
  <si>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</si>
  <si>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</si>
  <si>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</si>
  <si>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</si>
  <si>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</si>
  <si>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</si>
  <si>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</si>
  <si>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</si>
  <si>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</si>
  <si>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</si>
  <si>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</si>
  <si>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</si>
  <si>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</si>
  <si>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</si>
  <si>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</si>
  <si>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</si>
  <si>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</si>
  <si>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</si>
  <si>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</si>
  <si>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</si>
  <si>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</si>
  <si>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</si>
  <si>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</si>
  <si>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</si>
  <si>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</si>
  <si>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</si>
  <si>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</si>
  <si>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</si>
  <si>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</si>
  <si>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</si>
  <si>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</si>
  <si>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</si>
  <si>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</si>
  <si>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</si>
  <si>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</si>
  <si>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</si>
  <si>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</si>
  <si>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</si>
  <si>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</si>
  <si>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</si>
  <si>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</si>
  <si>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</si>
  <si>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</si>
  <si>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</si>
  <si>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</si>
  <si>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</si>
  <si>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</si>
  <si>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</si>
  <si>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</si>
  <si>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</si>
  <si>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</si>
  <si>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</si>
  <si>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</si>
  <si>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</si>
  <si>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</si>
  <si>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</si>
  <si>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</si>
  <si>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</si>
  <si>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</si>
  <si>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</si>
  <si>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</si>
  <si>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</si>
  <si>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</si>
  <si>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</si>
  <si>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</si>
  <si>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</si>
  <si>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</si>
  <si>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</si>
  <si>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</si>
  <si>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</si>
  <si>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</si>
  <si>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</si>
  <si>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</si>
  <si>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</si>
  <si>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</si>
  <si>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</si>
  <si>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</si>
  <si>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</si>
  <si>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</si>
  <si>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</si>
  <si>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</si>
  <si>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</si>
  <si>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</si>
  <si>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</si>
  <si>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</si>
  <si>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</si>
  <si>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</si>
  <si>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</si>
  <si>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</si>
  <si>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</si>
  <si>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</si>
  <si>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</si>
  <si>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</si>
  <si>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</si>
  <si>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</si>
  <si>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</si>
  <si>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</si>
  <si>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</si>
  <si>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</si>
  <si>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</si>
  <si>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</si>
  <si>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</si>
  <si>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</si>
  <si>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</si>
  <si>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</si>
  <si>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</si>
  <si>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</si>
  <si>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</si>
  <si>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</si>
  <si>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</si>
  <si>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</si>
  <si>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</si>
  <si>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</si>
  <si>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</si>
  <si>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</si>
  <si>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</si>
  <si>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</si>
  <si>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</si>
  <si>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</si>
  <si>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</si>
  <si>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</si>
  <si>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</si>
  <si>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</si>
  <si>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</si>
  <si>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</si>
  <si>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</si>
  <si>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</si>
  <si>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</si>
  <si>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</si>
  <si>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</si>
  <si>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</si>
  <si>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</si>
  <si>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</si>
  <si>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</si>
  <si>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</si>
  <si>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</si>
  <si>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</si>
  <si>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</si>
  <si>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</si>
  <si>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</si>
  <si>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</si>
  <si>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</si>
  <si>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</si>
  <si>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</si>
  <si>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</si>
  <si>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</si>
  <si>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</si>
  <si>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</si>
  <si>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</si>
  <si>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</si>
  <si>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</si>
  <si>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</si>
  <si>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</si>
  <si>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</si>
  <si>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</si>
  <si>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</si>
  <si>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</si>
  <si>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</si>
  <si>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</si>
  <si>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</si>
  <si>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</si>
  <si>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</si>
  <si>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</si>
  <si>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</si>
  <si>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</si>
  <si>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</si>
  <si>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</si>
  <si>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</si>
  <si>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</si>
  <si>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</si>
  <si>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</si>
  <si>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</si>
  <si>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</si>
  <si>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</si>
  <si>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</si>
  <si>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</si>
  <si>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</si>
  <si>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</si>
  <si>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</si>
  <si>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</si>
  <si>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</si>
  <si>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</si>
  <si>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</si>
  <si>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</si>
  <si>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</si>
  <si>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</si>
  <si>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</si>
  <si>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</si>
  <si>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</si>
  <si>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</si>
  <si>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</si>
  <si>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</si>
  <si>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</si>
  <si>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</si>
  <si>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</si>
  <si>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</si>
  <si>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</si>
  <si>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</si>
  <si>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</si>
  <si>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</si>
  <si>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</si>
  <si>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</si>
  <si>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</si>
  <si>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</si>
  <si>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</si>
  <si>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</si>
  <si>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</si>
  <si>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</si>
  <si>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</si>
  <si>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</si>
  <si>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</si>
  <si>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</si>
  <si>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</si>
  <si>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</si>
  <si>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</si>
  <si>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</si>
  <si>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</si>
  <si>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</si>
  <si>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</si>
  <si>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</si>
  <si>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</si>
  <si>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</si>
  <si>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</si>
  <si>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</si>
  <si>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</si>
  <si>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</si>
  <si>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</si>
  <si>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</si>
  <si>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</si>
  <si>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</si>
  <si>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</si>
  <si>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</si>
  <si>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</si>
  <si>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</si>
  <si>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</si>
  <si>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</si>
  <si>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</si>
  <si>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</si>
  <si>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</si>
  <si>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</si>
  <si>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</si>
  <si>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</si>
  <si>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</si>
  <si>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</si>
  <si>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</si>
  <si>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</si>
  <si>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</si>
  <si>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</si>
  <si>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</si>
  <si>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</si>
  <si>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</si>
  <si>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</si>
  <si>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</si>
  <si>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</si>
  <si>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</si>
  <si>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</si>
  <si>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</si>
  <si>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</si>
  <si>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</si>
  <si>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</si>
  <si>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</si>
  <si>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</si>
  <si>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</si>
  <si>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</si>
  <si>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</si>
  <si>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</si>
  <si>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</si>
  <si>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</si>
  <si>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</si>
  <si>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</si>
  <si>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</si>
  <si>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</si>
  <si>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</si>
  <si>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</si>
  <si>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</si>
  <si>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</si>
  <si>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</si>
  <si>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</si>
  <si>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</si>
  <si>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</si>
  <si>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</si>
  <si>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</si>
  <si>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</si>
  <si>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</si>
  <si>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</si>
  <si>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</si>
  <si>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</si>
  <si>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</si>
  <si>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</si>
  <si>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</si>
  <si>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</si>
  <si>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</si>
  <si>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</si>
  <si>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</si>
  <si>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</si>
  <si>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</si>
  <si>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</si>
  <si>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</si>
  <si>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</si>
  <si>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</si>
  <si>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</si>
  <si>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</si>
  <si>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</si>
  <si>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</si>
  <si>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</si>
  <si>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</si>
  <si>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</si>
  <si>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</si>
  <si>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</si>
  <si>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</si>
  <si>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</si>
  <si>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</si>
  <si>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</si>
  <si>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</si>
  <si>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</si>
  <si>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</si>
  <si>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</si>
  <si>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</si>
  <si>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</si>
  <si>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</si>
  <si>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</si>
  <si>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</si>
  <si>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</si>
  <si>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</si>
  <si>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</si>
  <si>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</si>
  <si>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</si>
  <si>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</si>
  <si>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</si>
  <si>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</si>
  <si>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</si>
  <si>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</si>
  <si>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</si>
  <si>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</si>
  <si>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</si>
  <si>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</si>
  <si>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</si>
  <si>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</si>
  <si>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</si>
  <si>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</si>
  <si>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</si>
  <si>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</si>
  <si>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</si>
  <si>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</si>
  <si>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</si>
  <si>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</si>
  <si>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</si>
  <si>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</si>
  <si>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</si>
  <si>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</si>
  <si>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</si>
  <si>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</si>
  <si>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</si>
  <si>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</si>
  <si>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</si>
  <si>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</si>
  <si>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</si>
  <si>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</si>
  <si>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</si>
  <si>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</si>
  <si>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</si>
  <si>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</si>
  <si>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</si>
  <si>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</si>
  <si>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</si>
  <si>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</si>
  <si>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</si>
  <si>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</si>
  <si>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</si>
  <si>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</si>
  <si>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</si>
  <si>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</si>
  <si>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</si>
  <si>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</si>
  <si>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</si>
  <si>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</si>
  <si>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</si>
  <si>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</si>
  <si>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</si>
  <si>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</si>
  <si>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</si>
  <si>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</si>
  <si>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</si>
  <si>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</si>
  <si>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</si>
  <si>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</si>
  <si>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</si>
  <si>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</si>
  <si>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</si>
  <si>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</si>
  <si>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</si>
  <si>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</si>
  <si>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</si>
  <si>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</si>
  <si>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</si>
  <si>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</si>
  <si>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</si>
  <si>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</si>
  <si>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</si>
  <si>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</si>
  <si>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</si>
  <si>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</si>
  <si>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</si>
  <si>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</si>
  <si>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</si>
  <si>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</si>
  <si>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</si>
  <si>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</si>
  <si>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</si>
  <si>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</si>
  <si>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</si>
  <si>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</si>
  <si>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</si>
  <si>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</si>
  <si>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</si>
  <si>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</si>
  <si>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</si>
  <si>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</si>
  <si>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</si>
  <si>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</si>
  <si>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</si>
  <si>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</si>
  <si>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</si>
  <si>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</si>
  <si>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</si>
  <si>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</si>
  <si>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</si>
  <si>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</si>
  <si>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</si>
  <si>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</si>
  <si>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</si>
  <si>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</si>
  <si>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</si>
  <si>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</si>
  <si>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</si>
  <si>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</si>
  <si>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</si>
  <si>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</si>
  <si>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</si>
  <si>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</si>
  <si>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</si>
  <si>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</si>
  <si>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</si>
  <si>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</si>
  <si>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</si>
  <si>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</si>
  <si>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</si>
  <si>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</si>
  <si>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</si>
  <si>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</si>
  <si>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</si>
  <si>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</si>
  <si>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</si>
  <si>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</si>
  <si>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</si>
  <si>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</si>
  <si>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</si>
  <si>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</si>
  <si>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</si>
  <si>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</si>
  <si>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</si>
  <si>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</si>
  <si>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</si>
  <si>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</si>
  <si>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</si>
  <si>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</si>
  <si>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</si>
  <si>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</si>
  <si>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</si>
  <si>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</si>
  <si>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</si>
  <si>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</si>
  <si>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</si>
  <si>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</si>
  <si>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</si>
  <si>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</si>
  <si>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</si>
  <si>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</si>
  <si>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</si>
  <si>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</si>
  <si>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</si>
  <si>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</si>
  <si>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</si>
  <si>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</si>
  <si>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</si>
  <si>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</si>
  <si>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</si>
  <si>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</si>
  <si>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</si>
  <si>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</si>
  <si>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</si>
  <si>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</si>
  <si>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</si>
  <si>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</si>
  <si>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</si>
  <si>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</si>
  <si>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</si>
  <si>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</si>
  <si>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</si>
  <si>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</si>
  <si>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</si>
  <si>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</si>
  <si>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</si>
  <si>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</si>
  <si>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</si>
  <si>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</si>
  <si>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</si>
  <si>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</si>
  <si>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</si>
  <si>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</si>
  <si>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</si>
  <si>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</si>
  <si>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</si>
  <si>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</si>
  <si>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</si>
  <si>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</si>
  <si>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</si>
  <si>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</si>
  <si>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</si>
  <si>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</si>
  <si>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</si>
  <si>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</si>
  <si>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</si>
  <si>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</si>
  <si>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</si>
  <si>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</si>
  <si>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</si>
  <si>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</si>
  <si>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</si>
  <si>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</si>
  <si>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</si>
  <si>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</si>
  <si>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</si>
  <si>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</si>
  <si>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</si>
  <si>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</si>
  <si>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</si>
  <si>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</si>
  <si>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</si>
  <si>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</si>
  <si>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</si>
  <si>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</si>
  <si>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</si>
  <si>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</si>
  <si>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</si>
  <si>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</si>
  <si>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</si>
  <si>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</si>
  <si>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</si>
  <si>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</si>
  <si>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</si>
  <si>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</si>
  <si>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</si>
  <si>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</si>
  <si>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</si>
  <si>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</si>
  <si>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</si>
  <si>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</si>
  <si>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</si>
  <si>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</si>
  <si>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</si>
  <si>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</si>
  <si>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</si>
  <si>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</si>
  <si>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</si>
  <si>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</si>
  <si>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</si>
  <si>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</si>
  <si>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</si>
  <si>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</si>
  <si>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</si>
  <si>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</si>
  <si>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</si>
  <si>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</si>
  <si>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</si>
  <si>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</si>
  <si>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</si>
  <si>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</si>
  <si>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</si>
  <si>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</si>
  <si>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</si>
  <si>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</si>
  <si>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</si>
  <si>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</si>
  <si>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</si>
  <si>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</si>
  <si>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</si>
  <si>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</si>
  <si>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</si>
  <si>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</si>
  <si>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</si>
  <si>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</si>
  <si>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</si>
  <si>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</si>
  <si>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</si>
  <si>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</si>
  <si>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</si>
  <si>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</si>
  <si>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</si>
  <si>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</si>
  <si>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</si>
  <si>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</si>
  <si>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</si>
  <si>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</si>
  <si>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</si>
  <si>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</si>
  <si>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</si>
  <si>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</si>
  <si>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</si>
  <si>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</si>
  <si>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</si>
  <si>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</si>
  <si>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</si>
  <si>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</si>
  <si>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</si>
  <si>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</si>
  <si>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</si>
  <si>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</si>
  <si>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</si>
  <si>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</si>
  <si>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</si>
  <si>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</si>
  <si>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</si>
  <si>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</si>
  <si>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</si>
  <si>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</si>
  <si>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</si>
  <si>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</si>
  <si>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</si>
  <si>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</si>
  <si>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</si>
  <si>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</si>
  <si>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</si>
  <si>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</si>
  <si>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</si>
  <si>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</si>
  <si>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</si>
  <si>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</si>
  <si>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</si>
  <si>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</si>
  <si>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</si>
  <si>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</si>
  <si>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</si>
  <si>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</si>
  <si>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</si>
  <si>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</si>
  <si>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</si>
  <si>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</si>
  <si>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</si>
  <si>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</si>
  <si>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</si>
  <si>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</si>
  <si>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</si>
  <si>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</si>
  <si>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</si>
  <si>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</si>
  <si>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</si>
  <si>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</si>
  <si>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</si>
  <si>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</si>
  <si>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</si>
  <si>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</si>
  <si>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</si>
  <si>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</si>
  <si>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</si>
  <si>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</si>
  <si>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</si>
  <si>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</si>
  <si>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</si>
  <si>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</si>
  <si>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</si>
  <si>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</si>
  <si>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</si>
  <si>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</si>
  <si>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</si>
  <si>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</si>
  <si>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</si>
  <si>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</si>
  <si>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</si>
  <si>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</si>
  <si>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</si>
  <si>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</si>
  <si>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</si>
  <si>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</si>
  <si>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</si>
  <si>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</si>
  <si>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</si>
  <si>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</si>
  <si>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</si>
  <si>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</si>
  <si>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</si>
  <si>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</si>
  <si>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</si>
  <si>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</si>
  <si>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</si>
  <si>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</si>
  <si>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</si>
  <si>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</si>
  <si>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</si>
  <si>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</si>
  <si>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</si>
  <si>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</si>
  <si>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</si>
  <si>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</si>
  <si>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</si>
  <si>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</si>
  <si>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</si>
  <si>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</si>
  <si>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</si>
  <si>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</si>
  <si>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</si>
  <si>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</si>
  <si>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</si>
  <si>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</si>
  <si>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</si>
  <si>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</si>
  <si>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</si>
  <si>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</si>
  <si>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</si>
  <si>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</si>
  <si>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</si>
  <si>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</si>
  <si>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</si>
  <si>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</si>
  <si>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</si>
  <si>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</si>
  <si>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</si>
  <si>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</si>
  <si>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</si>
  <si>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</si>
  <si>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</si>
  <si>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</si>
  <si>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</si>
  <si>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</si>
  <si>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</si>
  <si>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</si>
  <si>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</si>
  <si>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</si>
  <si>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</si>
  <si>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</si>
  <si>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</si>
  <si>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</si>
  <si>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</si>
  <si>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</si>
  <si>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</si>
  <si>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</si>
  <si>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</si>
  <si>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</si>
  <si>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</si>
  <si>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</si>
  <si>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</si>
  <si>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</si>
  <si>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</si>
  <si>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</si>
  <si>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</si>
  <si>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</si>
  <si>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</si>
  <si>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</si>
  <si>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</si>
  <si>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</si>
  <si>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</si>
  <si>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</si>
  <si>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</si>
  <si>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</si>
  <si>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</si>
  <si>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</si>
  <si>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</si>
  <si>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</si>
  <si>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</si>
  <si>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</si>
  <si>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</si>
  <si>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</si>
  <si>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</si>
  <si>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</si>
  <si>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</si>
  <si>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</si>
  <si>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</si>
  <si>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</si>
  <si>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</si>
  <si>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</si>
  <si>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</si>
  <si>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</si>
  <si>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</si>
  <si>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</si>
  <si>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</si>
  <si>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</si>
  <si>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</si>
  <si>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</si>
  <si>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</si>
  <si>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</si>
  <si>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</si>
  <si>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</si>
  <si>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</si>
  <si>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</si>
  <si>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</si>
  <si>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</si>
  <si>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</si>
  <si>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</si>
  <si>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</si>
  <si>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</si>
  <si>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</si>
  <si>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</si>
  <si>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</si>
  <si>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</si>
  <si>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</si>
  <si>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</si>
  <si>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</si>
  <si>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</si>
  <si>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</si>
  <si>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</si>
  <si>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</si>
  <si>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</si>
  <si>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</si>
  <si>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</si>
  <si>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</si>
  <si>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</si>
  <si>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</si>
  <si>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</si>
  <si>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</si>
  <si>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</si>
  <si>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</si>
  <si>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</si>
  <si>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</si>
  <si>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</si>
  <si>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</si>
  <si>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</si>
  <si>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</si>
  <si>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</si>
  <si>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</si>
  <si>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</si>
  <si>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</si>
  <si>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</si>
  <si>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</si>
  <si>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</si>
  <si>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</si>
  <si>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</si>
  <si>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</si>
  <si>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</si>
  <si>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</si>
  <si>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</si>
  <si>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</si>
  <si>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</si>
  <si>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</si>
  <si>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</si>
  <si>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</si>
  <si>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</si>
  <si>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</si>
  <si>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</si>
  <si>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</si>
  <si>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</si>
  <si>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</si>
  <si>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</si>
  <si>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</si>
  <si>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</si>
  <si>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</si>
  <si>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</si>
  <si>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</si>
  <si>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</si>
  <si>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</si>
  <si>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</si>
  <si>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</si>
  <si>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</si>
  <si>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</si>
  <si>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</si>
  <si>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</si>
  <si>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</si>
  <si>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</si>
  <si>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</si>
  <si>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</si>
  <si>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</si>
  <si>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</si>
  <si>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</si>
  <si>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</si>
  <si>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</si>
  <si>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</si>
  <si>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</si>
  <si>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</si>
  <si>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</si>
  <si>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</si>
  <si>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</si>
  <si>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</si>
  <si>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</si>
  <si>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</si>
  <si>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</si>
  <si>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</si>
  <si>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</si>
  <si>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</si>
  <si>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</si>
  <si>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</si>
  <si>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</si>
  <si>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</si>
  <si>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</si>
  <si>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</si>
  <si>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</si>
  <si>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</si>
  <si>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</si>
  <si>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</si>
  <si>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</si>
  <si>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</si>
  <si>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</si>
  <si>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</si>
  <si>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</si>
  <si>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</si>
  <si>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</si>
  <si>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</si>
  <si>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</si>
  <si>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</si>
  <si>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</si>
  <si>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</si>
  <si>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</si>
  <si>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</si>
  <si>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</si>
  <si>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</si>
  <si>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</si>
  <si>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</si>
  <si>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</si>
  <si>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</si>
  <si>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</si>
  <si>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</si>
  <si>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</si>
  <si>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</si>
  <si>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</si>
  <si>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</si>
  <si>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</si>
  <si>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</si>
  <si>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</si>
  <si>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</si>
  <si>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</si>
  <si>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</si>
  <si>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</si>
  <si>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</si>
  <si>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</si>
  <si>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</si>
  <si>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</si>
  <si>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</si>
  <si>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</si>
  <si>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</si>
  <si>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</si>
  <si>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</si>
  <si>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</si>
  <si>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</si>
  <si>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</si>
  <si>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</si>
  <si>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</si>
  <si>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</si>
  <si>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</si>
  <si>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</si>
  <si>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</si>
  <si>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</si>
  <si>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</si>
  <si>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</si>
  <si>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</si>
  <si>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</si>
  <si>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</si>
  <si>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</si>
  <si>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</si>
  <si>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</si>
  <si>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</si>
  <si>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</si>
  <si>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</si>
  <si>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</si>
  <si>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</si>
  <si>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</si>
  <si>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</si>
  <si>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</si>
  <si>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</si>
  <si>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</si>
  <si>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</si>
  <si>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</si>
  <si>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</si>
  <si>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</si>
  <si>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</si>
  <si>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</si>
  <si>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</si>
  <si>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</si>
  <si>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</si>
  <si>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</si>
  <si>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</si>
  <si>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</si>
  <si>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</si>
  <si>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</si>
  <si>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</si>
  <si>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</si>
  <si>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</si>
  <si>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</si>
  <si>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</si>
  <si>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</si>
  <si>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</si>
  <si>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</si>
  <si>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</si>
  <si>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</si>
  <si>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</si>
  <si>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</si>
  <si>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</si>
  <si>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</si>
  <si>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</si>
  <si>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</si>
  <si>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</si>
  <si>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</si>
  <si>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</si>
  <si>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</si>
  <si>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</si>
  <si>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</si>
  <si>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</si>
  <si>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</si>
  <si>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</si>
  <si>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</si>
  <si>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</si>
  <si>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</si>
  <si>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</si>
  <si>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</si>
  <si>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</si>
  <si>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</si>
  <si>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</si>
  <si>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</si>
  <si>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</si>
  <si>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</si>
  <si>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</si>
  <si>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</si>
  <si>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</si>
  <si>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</si>
  <si>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</si>
  <si>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</si>
  <si>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</si>
  <si>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</si>
  <si>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</si>
  <si>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</si>
  <si>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</si>
  <si>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</si>
  <si>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</si>
  <si>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</si>
  <si>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</si>
  <si>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</si>
  <si>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</si>
  <si>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</si>
  <si>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</si>
  <si>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</si>
  <si>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</si>
  <si>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</si>
  <si>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</si>
  <si>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</si>
  <si>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</si>
  <si>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</si>
  <si>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</si>
  <si>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</si>
  <si>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</si>
  <si>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</si>
  <si>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</si>
  <si>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</si>
  <si>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</si>
  <si>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</si>
  <si>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</si>
  <si>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</si>
  <si>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</si>
  <si>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</si>
  <si>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</si>
  <si>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</si>
  <si>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</si>
  <si>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</si>
  <si>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</si>
  <si>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</si>
  <si>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</si>
  <si>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</si>
  <si>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</si>
  <si>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</si>
  <si>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</si>
  <si>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</si>
  <si>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</si>
  <si>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</si>
  <si>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</si>
  <si>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</si>
  <si>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</si>
  <si>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</si>
  <si>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</si>
  <si>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</si>
  <si>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</si>
  <si>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</si>
  <si>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</si>
  <si>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</si>
  <si>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</si>
  <si>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</si>
  <si>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</si>
  <si>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</si>
  <si>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</si>
  <si>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</si>
  <si>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</si>
  <si>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</si>
  <si>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</si>
  <si>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</si>
  <si>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</si>
  <si>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</si>
  <si>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</si>
  <si>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</si>
  <si>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</si>
  <si>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</si>
  <si>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</si>
  <si>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</si>
  <si>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</si>
  <si>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</si>
  <si>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</si>
  <si>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</si>
  <si>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</si>
  <si>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</si>
  <si>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</si>
  <si>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</si>
  <si>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</si>
  <si>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</si>
  <si>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</si>
  <si>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</si>
  <si>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</si>
  <si>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</si>
  <si>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</si>
  <si>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</si>
  <si>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</si>
  <si>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</si>
  <si>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</si>
  <si>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</si>
  <si>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</si>
  <si>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</si>
  <si>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</si>
  <si>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</si>
  <si>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</si>
  <si>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</si>
  <si>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</si>
  <si>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</si>
  <si>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</si>
  <si>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</si>
  <si>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</si>
  <si>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</si>
  <si>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</si>
  <si>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</si>
  <si>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</si>
  <si>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</si>
  <si>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</si>
  <si>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</si>
  <si>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</si>
  <si>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</si>
  <si>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</si>
  <si>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</si>
  <si>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</si>
  <si>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</si>
  <si>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</si>
  <si>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</si>
  <si>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</si>
  <si>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</si>
  <si>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</si>
  <si>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</si>
  <si>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</si>
  <si>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</si>
  <si>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</si>
  <si>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</si>
  <si>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</si>
  <si>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</si>
  <si>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</si>
  <si>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</si>
  <si>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</si>
  <si>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</si>
  <si>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</si>
  <si>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</si>
  <si>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</si>
  <si>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</si>
  <si>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</si>
  <si>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</si>
  <si>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</si>
  <si>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</si>
  <si>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</si>
  <si>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</si>
  <si>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</si>
  <si>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</si>
  <si>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</si>
  <si>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</si>
  <si>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</si>
  <si>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</si>
  <si>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</si>
  <si>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</si>
  <si>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</si>
  <si>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</si>
  <si>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</si>
  <si>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</si>
  <si>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</si>
  <si>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</si>
  <si>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</si>
  <si>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</si>
  <si>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</si>
  <si>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</si>
  <si>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</si>
  <si>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</si>
  <si>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</si>
  <si>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</si>
  <si>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</si>
  <si>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</si>
  <si>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</si>
  <si>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</si>
  <si>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</si>
  <si>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</si>
  <si>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</si>
  <si>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</si>
  <si>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</si>
  <si>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</si>
  <si>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</si>
  <si>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</si>
  <si>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</si>
  <si>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</si>
  <si>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</si>
  <si>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</si>
  <si>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</si>
  <si>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</si>
  <si>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</si>
  <si>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</si>
  <si>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</si>
  <si>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</si>
  <si>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</si>
  <si>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</si>
  <si>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</si>
  <si>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</si>
  <si>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</si>
  <si>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</si>
  <si>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</si>
  <si>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</si>
  <si>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</si>
  <si>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</si>
  <si>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</si>
  <si>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</si>
  <si>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</si>
  <si>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</si>
  <si>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</si>
  <si>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</si>
  <si>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</si>
  <si>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</si>
  <si>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</si>
  <si>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</si>
  <si>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</si>
  <si>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</si>
  <si>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</si>
  <si>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</si>
  <si>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</si>
  <si>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</si>
  <si>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</si>
  <si>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</si>
  <si>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</si>
  <si>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</si>
  <si>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</si>
  <si>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</si>
  <si>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</si>
  <si>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</si>
  <si>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</si>
  <si>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</si>
  <si>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</si>
  <si>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</si>
  <si>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</si>
  <si>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</si>
  <si>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</si>
  <si>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</si>
  <si>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</si>
  <si>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</si>
  <si>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</si>
  <si>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</si>
  <si>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</si>
  <si>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</si>
  <si>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</si>
  <si>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</si>
  <si>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</si>
  <si>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</si>
  <si>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</si>
  <si>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</si>
  <si>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</si>
  <si>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</si>
  <si>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</si>
  <si>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</si>
  <si>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</si>
  <si>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</si>
  <si>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</si>
  <si>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</si>
  <si>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</si>
  <si>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</si>
  <si>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</si>
  <si>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</si>
  <si>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</si>
  <si>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</si>
  <si>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</si>
  <si>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</si>
  <si>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</si>
  <si>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</si>
  <si>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</si>
  <si>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</si>
  <si>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</si>
  <si>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</si>
  <si>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</si>
  <si>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</si>
  <si>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</si>
  <si>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</si>
  <si>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</si>
  <si>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</si>
  <si>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</si>
  <si>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</si>
  <si>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</si>
  <si>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</si>
  <si>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</si>
  <si>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</si>
  <si>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</si>
  <si>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</si>
  <si>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</si>
  <si>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</si>
  <si>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</si>
  <si>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</si>
  <si>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</si>
  <si>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</si>
  <si>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</si>
  <si>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</si>
  <si>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</si>
  <si>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</si>
  <si>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</si>
  <si>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</si>
  <si>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</si>
  <si>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</si>
  <si>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</si>
  <si>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</si>
  <si>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</si>
  <si>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</si>
  <si>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</si>
  <si>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</si>
  <si>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</si>
  <si>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</si>
  <si>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</si>
  <si>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</si>
  <si>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</si>
  <si>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</si>
  <si>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</si>
  <si>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</si>
  <si>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</si>
  <si>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</si>
  <si>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</si>
  <si>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</si>
  <si>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</si>
  <si>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</si>
  <si>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</si>
  <si>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</si>
  <si>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</si>
  <si>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</si>
  <si>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</si>
  <si>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</si>
  <si>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</si>
  <si>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</si>
  <si>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</si>
  <si>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</si>
  <si>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</si>
  <si>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</si>
  <si>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</si>
  <si>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</si>
  <si>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</si>
  <si>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</si>
  <si>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</si>
  <si>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</si>
  <si>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</si>
  <si>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</si>
  <si>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</si>
  <si>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</si>
  <si>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</si>
  <si>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</si>
  <si>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</si>
  <si>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</si>
  <si>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</si>
  <si>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</si>
  <si>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</si>
  <si>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</si>
  <si>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</si>
  <si>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</si>
  <si>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</si>
  <si>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</si>
  <si>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</si>
  <si>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</si>
  <si>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</si>
  <si>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</si>
  <si>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</si>
  <si>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</si>
  <si>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</si>
  <si>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</si>
  <si>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</si>
  <si>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</si>
  <si>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</si>
  <si>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</si>
  <si>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</si>
  <si>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</si>
  <si>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</si>
  <si>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</si>
  <si>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</si>
  <si>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</si>
  <si>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</si>
  <si>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</si>
  <si>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</si>
  <si>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</si>
  <si>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</si>
  <si>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</si>
  <si>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</si>
  <si>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</si>
  <si>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</si>
  <si>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</si>
  <si>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</si>
  <si>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</si>
  <si>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</si>
  <si>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</si>
  <si>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</si>
  <si>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</si>
  <si>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</si>
  <si>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</si>
  <si>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</si>
  <si>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</si>
  <si>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</si>
  <si>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</si>
  <si>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</si>
  <si>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</si>
  <si>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</si>
  <si>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</si>
  <si>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</si>
  <si>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</si>
  <si>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</si>
  <si>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</si>
  <si>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</si>
  <si>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</si>
  <si>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</si>
  <si>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</si>
  <si>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</si>
  <si>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</si>
  <si>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</si>
  <si>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</si>
  <si>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</si>
  <si>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</si>
  <si>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</si>
  <si>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</si>
  <si>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</si>
  <si>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</si>
  <si>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</si>
  <si>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</si>
  <si>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</si>
  <si>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</si>
  <si>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</si>
  <si>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</si>
  <si>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</si>
  <si>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</si>
  <si>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</si>
  <si>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</si>
  <si>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</si>
  <si>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</si>
  <si>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</si>
  <si>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</si>
  <si>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</si>
  <si>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</si>
  <si>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</si>
  <si>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</si>
  <si>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</si>
  <si>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</si>
  <si>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</si>
  <si>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</si>
  <si>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</si>
  <si>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</si>
  <si>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</si>
  <si>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</si>
  <si>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</si>
  <si>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</si>
  <si>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</si>
  <si>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</si>
  <si>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</si>
  <si>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</si>
  <si>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</si>
  <si>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</si>
  <si>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</si>
  <si>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</si>
  <si>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</si>
  <si>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</si>
  <si>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</si>
  <si>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</si>
  <si>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</si>
  <si>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</si>
  <si>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</si>
  <si>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</si>
  <si>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</si>
  <si>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</si>
  <si>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</si>
  <si>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</si>
  <si>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</si>
  <si>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</si>
  <si>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</si>
  <si>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</si>
  <si>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</si>
  <si>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</si>
  <si>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</si>
  <si>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</si>
  <si>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</si>
  <si>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</si>
  <si>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</si>
  <si>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</si>
  <si>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</si>
  <si>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</si>
  <si>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</si>
  <si>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</si>
  <si>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</si>
  <si>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</si>
  <si>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</si>
  <si>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</si>
  <si>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</si>
  <si>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</si>
  <si>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</si>
  <si>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</si>
  <si>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</si>
  <si>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</si>
  <si>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</si>
  <si>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</si>
  <si>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</si>
  <si>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</si>
  <si>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</si>
  <si>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</si>
  <si>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</si>
  <si>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</si>
  <si>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</si>
  <si>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</si>
  <si>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</si>
  <si>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</si>
  <si>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</si>
  <si>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</si>
  <si>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</si>
  <si>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</si>
  <si>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</si>
  <si>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</si>
  <si>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</si>
  <si>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</si>
  <si>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</si>
  <si>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</si>
  <si>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</si>
  <si>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</si>
  <si>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</si>
  <si>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</si>
  <si>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</si>
  <si>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</si>
  <si>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</si>
  <si>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</si>
  <si>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</si>
  <si>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</si>
  <si>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</si>
  <si>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</si>
  <si>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</si>
  <si>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</si>
  <si>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</si>
  <si>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</si>
  <si>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</si>
  <si>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</si>
  <si>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</si>
  <si>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</si>
  <si>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</si>
  <si>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</si>
  <si>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</si>
  <si>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</si>
  <si>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</si>
  <si>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</si>
  <si>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</si>
  <si>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</si>
  <si>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</si>
  <si>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</si>
  <si>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</si>
  <si>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</si>
  <si>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</si>
  <si>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</si>
  <si>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</si>
  <si>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</si>
  <si>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</si>
  <si>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</si>
  <si>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</si>
  <si>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</si>
  <si>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</si>
  <si>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</si>
  <si>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</si>
  <si>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</si>
  <si>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</si>
  <si>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</si>
  <si>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</si>
  <si>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</si>
  <si>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</si>
  <si>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</si>
  <si>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</si>
  <si>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</si>
  <si>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</si>
  <si>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</si>
  <si>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</si>
  <si>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</si>
  <si>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</si>
  <si>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</si>
  <si>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</si>
  <si>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</si>
  <si>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</si>
  <si>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</si>
  <si>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</si>
  <si>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</si>
  <si>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</si>
  <si>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</si>
  <si>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</si>
  <si>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</si>
  <si>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</si>
  <si>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</si>
  <si>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</si>
  <si>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</si>
  <si>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</si>
  <si>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</si>
  <si>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</si>
  <si>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</si>
  <si>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</si>
  <si>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</si>
  <si>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</si>
  <si>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</si>
  <si>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</si>
  <si>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</si>
  <si>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</si>
  <si>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</si>
  <si>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</si>
  <si>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</si>
  <si>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</si>
  <si>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</si>
  <si>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</si>
  <si>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</si>
  <si>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</si>
  <si>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</si>
  <si>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</si>
  <si>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</si>
  <si>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</si>
  <si>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</si>
  <si>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</si>
  <si>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</si>
  <si>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</si>
  <si>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</si>
  <si>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</si>
  <si>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</si>
  <si>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</si>
  <si>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</si>
  <si>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</si>
  <si>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</si>
  <si>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</si>
  <si>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</si>
  <si>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</si>
  <si>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</si>
  <si>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</si>
  <si>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</si>
  <si>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</si>
  <si>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</si>
  <si>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</si>
  <si>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</si>
  <si>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</si>
  <si>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</si>
  <si>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</si>
  <si>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</si>
  <si>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</si>
  <si>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</si>
  <si>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</si>
  <si>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</si>
  <si>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</si>
  <si>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</si>
  <si>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</si>
  <si>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</si>
  <si>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</si>
  <si>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</si>
  <si>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</si>
  <si>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</si>
  <si>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</si>
  <si>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</si>
  <si>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</si>
  <si>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</si>
  <si>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</si>
  <si>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</si>
  <si>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</si>
  <si>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</si>
  <si>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</si>
  <si>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</si>
  <si>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</si>
  <si>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</si>
  <si>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</si>
  <si>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</si>
  <si>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</si>
  <si>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</si>
  <si>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</si>
  <si>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</si>
  <si>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</si>
  <si>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</si>
  <si>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</si>
  <si>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</si>
  <si>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</si>
  <si>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</si>
  <si>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</si>
  <si>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</si>
  <si>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</si>
  <si>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</si>
  <si>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</si>
  <si>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</si>
  <si>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</si>
  <si>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</si>
  <si>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</si>
  <si>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</si>
  <si>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</si>
  <si>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</si>
  <si>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</si>
  <si>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</si>
  <si>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</si>
  <si>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</si>
  <si>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</si>
  <si>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</si>
  <si>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</si>
  <si>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</si>
  <si>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</si>
  <si>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</si>
  <si>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</si>
  <si>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</si>
  <si>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</si>
  <si>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</si>
  <si>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</si>
  <si>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</si>
  <si>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</si>
  <si>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</si>
  <si>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</si>
  <si>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</si>
  <si>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</si>
  <si>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</si>
  <si>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</si>
  <si>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</si>
  <si>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</si>
  <si>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</si>
  <si>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</si>
  <si>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</si>
  <si>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</si>
  <si>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</si>
  <si>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</si>
  <si>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</si>
  <si>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</si>
  <si>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</si>
  <si>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</si>
  <si>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</si>
  <si>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</si>
  <si>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</si>
  <si>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</si>
  <si>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</si>
  <si>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</si>
  <si>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</si>
  <si>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</si>
  <si>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</si>
  <si>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</si>
  <si>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</si>
  <si>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</si>
  <si>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</si>
  <si>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</si>
  <si>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</si>
  <si>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</si>
  <si>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</si>
  <si>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</si>
  <si>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</si>
  <si>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</si>
  <si>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</si>
  <si>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</si>
  <si>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</si>
  <si>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</si>
  <si>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</si>
  <si>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</si>
  <si>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</si>
  <si>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</si>
  <si>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</si>
  <si>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</si>
  <si>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</si>
  <si>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</si>
  <si>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</si>
  <si>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</si>
  <si>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</si>
  <si>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</si>
  <si>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</si>
  <si>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</si>
  <si>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</si>
  <si>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</si>
  <si>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</si>
  <si>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</si>
  <si>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</si>
  <si>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</si>
  <si>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</si>
  <si>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</si>
  <si>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</si>
  <si>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</si>
  <si>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</si>
  <si>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</si>
  <si>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</si>
  <si>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</si>
  <si>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</si>
  <si>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</si>
  <si>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</si>
  <si>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</si>
  <si>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</si>
  <si>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</si>
  <si>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</si>
  <si>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</si>
  <si>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</si>
  <si>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</si>
  <si>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</si>
  <si>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</si>
  <si>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</si>
  <si>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</si>
  <si>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</si>
  <si>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</si>
  <si>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</si>
  <si>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</si>
  <si>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</si>
  <si>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</si>
  <si>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</si>
  <si>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</si>
  <si>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</si>
  <si>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</si>
  <si>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</si>
  <si>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</si>
  <si>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</si>
  <si>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</si>
  <si>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</si>
  <si>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</si>
  <si>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</si>
  <si>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</si>
  <si>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</si>
  <si>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</si>
  <si>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</si>
  <si>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</si>
  <si>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</si>
  <si>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</si>
  <si>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</si>
  <si>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</si>
  <si>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</si>
  <si>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</si>
  <si>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</si>
  <si>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</si>
  <si>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</si>
  <si>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</si>
  <si>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</si>
  <si>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</si>
  <si>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</si>
  <si>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</si>
  <si>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</si>
  <si>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</si>
  <si>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</si>
  <si>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</si>
  <si>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</si>
  <si>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</si>
  <si>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</si>
  <si>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</si>
  <si>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</si>
  <si>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</si>
  <si>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</si>
  <si>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</si>
  <si>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</si>
  <si>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</si>
  <si>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</si>
  <si>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</si>
  <si>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</si>
  <si>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</si>
  <si>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</si>
  <si>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</si>
  <si>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</si>
  <si>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</si>
  <si>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</si>
  <si>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</si>
  <si>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</si>
  <si>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</si>
  <si>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</si>
  <si>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</si>
  <si>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</si>
  <si>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</si>
  <si>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</si>
  <si>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</si>
  <si>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</si>
  <si>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</si>
  <si>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</si>
  <si>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</si>
  <si>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</si>
  <si>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</si>
  <si>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</si>
  <si>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</si>
  <si>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</si>
  <si>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</si>
  <si>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</si>
  <si>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</si>
  <si>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</si>
  <si>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</si>
  <si>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</si>
  <si>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</si>
  <si>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</si>
  <si>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</si>
  <si>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</si>
  <si>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</si>
  <si>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</si>
  <si>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</si>
  <si>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</si>
  <si>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</si>
  <si>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</si>
  <si>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</si>
  <si>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</si>
  <si>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</si>
  <si>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</si>
  <si>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</si>
  <si>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</si>
  <si>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</si>
  <si>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</si>
  <si>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</si>
  <si>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</si>
  <si>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</si>
  <si>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</si>
  <si>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</si>
  <si>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</si>
  <si>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</si>
  <si>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</si>
  <si>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</si>
  <si>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</si>
  <si>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</si>
  <si>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</si>
  <si>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</si>
  <si>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</si>
  <si>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</si>
  <si>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</si>
  <si>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</si>
  <si>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</si>
  <si>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</si>
  <si>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</si>
  <si>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</si>
  <si>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</si>
  <si>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</si>
  <si>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</si>
  <si>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</si>
  <si>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</si>
  <si>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</si>
  <si>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</si>
  <si>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</si>
  <si>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</si>
  <si>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</si>
  <si>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</si>
  <si>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</si>
  <si>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</si>
  <si>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</si>
  <si>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</si>
  <si>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</si>
  <si>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</si>
  <si>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</si>
  <si>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</si>
  <si>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</si>
  <si>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</si>
  <si>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</si>
  <si>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</si>
  <si>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</si>
  <si>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</si>
  <si>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</si>
  <si>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</si>
  <si>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</si>
  <si>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</si>
  <si>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</si>
  <si>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</si>
  <si>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</si>
  <si>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</si>
  <si>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</si>
  <si>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</si>
  <si>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</si>
  <si>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</si>
  <si>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</si>
  <si>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</si>
  <si>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</si>
  <si>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</si>
  <si>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</si>
  <si>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</si>
  <si>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</si>
  <si>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</si>
  <si>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</si>
  <si>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</si>
  <si>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</si>
  <si>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</si>
  <si>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</si>
  <si>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</si>
  <si>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</si>
  <si>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</si>
  <si>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</si>
  <si>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</si>
  <si>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</si>
  <si>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</si>
  <si>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</si>
  <si>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</si>
  <si>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</si>
  <si>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</si>
  <si>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</si>
  <si>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</si>
  <si>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</si>
  <si>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</si>
  <si>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</si>
  <si>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</si>
  <si>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</si>
  <si>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</si>
  <si>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</si>
  <si>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</si>
  <si>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</si>
  <si>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</si>
  <si>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</si>
  <si>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</si>
  <si>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</si>
  <si>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</si>
  <si>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</si>
  <si>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</si>
  <si>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</si>
  <si>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</si>
  <si>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</si>
  <si>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</si>
  <si>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</si>
  <si>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</si>
  <si>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</si>
  <si>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</si>
  <si>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</si>
  <si>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</si>
  <si>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</si>
  <si>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</si>
  <si>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</si>
  <si>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</si>
  <si>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</si>
  <si>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</si>
  <si>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</si>
  <si>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</si>
  <si>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</si>
  <si>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</si>
  <si>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</si>
  <si>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</si>
  <si>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</si>
  <si>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</si>
  <si>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</si>
  <si>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</si>
  <si>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</si>
  <si>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</si>
  <si>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</si>
  <si>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</si>
  <si>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</si>
  <si>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</si>
  <si>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</si>
  <si>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</si>
  <si>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</si>
  <si>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</si>
  <si>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</si>
  <si>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</si>
  <si>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</si>
  <si>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</si>
  <si>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</si>
  <si>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</si>
  <si>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</si>
  <si>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</si>
  <si>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</si>
  <si>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</si>
  <si>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</si>
  <si>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</si>
  <si>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</si>
  <si>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</si>
  <si>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</si>
  <si>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</si>
  <si>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</si>
  <si>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</si>
  <si>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</si>
  <si>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</si>
  <si>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</si>
  <si>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</si>
  <si>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</si>
  <si>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</si>
  <si>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</si>
  <si>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</si>
  <si>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</si>
  <si>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</si>
  <si>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</si>
  <si>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</si>
  <si>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</si>
  <si>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</si>
  <si>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</si>
  <si>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</si>
  <si>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</si>
  <si>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</si>
  <si>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</si>
  <si>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</si>
  <si>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</si>
  <si>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</si>
  <si>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</si>
  <si>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</si>
  <si>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</si>
  <si>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</si>
  <si>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</si>
  <si>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</si>
  <si>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</si>
  <si>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</si>
  <si>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</si>
  <si>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</si>
  <si>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</si>
  <si>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</si>
  <si>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</si>
  <si>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</si>
  <si>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</si>
  <si>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</si>
  <si>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</si>
  <si>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</si>
  <si>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</si>
  <si>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</si>
  <si>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</si>
  <si>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</si>
  <si>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</si>
  <si>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</si>
  <si>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</si>
  <si>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</si>
  <si>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</si>
  <si>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</si>
  <si>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</si>
  <si>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</si>
  <si>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</si>
  <si>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</si>
  <si>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</si>
  <si>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</si>
  <si>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</si>
  <si>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</si>
  <si>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</si>
  <si>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</si>
  <si>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</si>
  <si>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</si>
  <si>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</si>
  <si>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</si>
  <si>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</si>
  <si>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</si>
  <si>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</si>
  <si>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</si>
  <si>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</si>
  <si>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</si>
  <si>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</si>
  <si>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</si>
  <si>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</si>
  <si>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</si>
  <si>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</si>
  <si>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</si>
  <si>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</si>
  <si>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</si>
  <si>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</si>
  <si>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</si>
  <si>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</si>
  <si>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</si>
  <si>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</si>
  <si>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</si>
  <si>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</si>
  <si>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</si>
  <si>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</si>
  <si>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</si>
  <si>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</si>
  <si>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</si>
  <si>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</si>
  <si>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</si>
  <si>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</si>
  <si>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</si>
  <si>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</si>
  <si>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</si>
  <si>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</si>
  <si>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</si>
  <si>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</si>
  <si>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</si>
  <si>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</si>
  <si>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</si>
  <si>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</si>
  <si>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</si>
  <si>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</si>
  <si>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</si>
  <si>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</si>
  <si>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</si>
  <si>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</si>
  <si>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</si>
  <si>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</si>
  <si>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</si>
  <si>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</si>
  <si>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</si>
  <si>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</si>
  <si>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</si>
  <si>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</si>
  <si>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</si>
  <si>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</si>
  <si>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</si>
  <si>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</si>
  <si>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</si>
  <si>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</si>
  <si>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</si>
  <si>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</si>
  <si>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</si>
  <si>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</si>
  <si>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</si>
  <si>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</si>
  <si>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</si>
  <si>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</si>
  <si>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</si>
  <si>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</si>
  <si>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</si>
  <si>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</si>
  <si>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</si>
  <si>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</si>
  <si>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</si>
  <si>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</si>
  <si>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</si>
  <si>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</si>
  <si>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</si>
  <si>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</si>
  <si>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</si>
  <si>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</si>
  <si>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</si>
  <si>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</si>
  <si>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</si>
  <si>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</si>
  <si>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</si>
  <si>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</si>
  <si>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</si>
  <si>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</si>
  <si>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</si>
  <si>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</si>
  <si>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</si>
  <si>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</si>
  <si>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</si>
  <si>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</si>
  <si>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</si>
  <si>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</si>
  <si>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</si>
  <si>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</si>
  <si>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</si>
  <si>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</si>
  <si>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</si>
  <si>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</si>
  <si>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</si>
  <si>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</si>
  <si>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</si>
  <si>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</si>
  <si>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</si>
  <si>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</si>
  <si>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</si>
  <si>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</si>
  <si>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</si>
  <si>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</si>
  <si>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</si>
  <si>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</si>
  <si>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</si>
  <si>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</si>
  <si>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</si>
  <si>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</si>
  <si>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</si>
  <si>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</si>
  <si>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</si>
  <si>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</si>
  <si>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</si>
  <si>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</si>
  <si>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</si>
  <si>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</si>
  <si>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</si>
  <si>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</si>
  <si>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</si>
  <si>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</si>
  <si>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</si>
  <si>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</si>
  <si>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</si>
  <si>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</si>
  <si>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</si>
  <si>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</si>
  <si>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</si>
  <si>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</si>
  <si>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</si>
  <si>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</si>
  <si>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</si>
  <si>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</si>
  <si>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</si>
  <si>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</si>
  <si>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</si>
  <si>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</si>
  <si>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</si>
  <si>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</si>
  <si>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</si>
  <si>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</si>
  <si>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</si>
  <si>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</si>
  <si>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</si>
  <si>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</si>
  <si>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</si>
  <si>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</si>
  <si>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</si>
  <si>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</si>
  <si>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</si>
  <si>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</si>
  <si>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</si>
  <si>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</si>
  <si>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</si>
  <si>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</si>
  <si>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</si>
  <si>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</si>
  <si>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</si>
  <si>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</si>
  <si>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</si>
  <si>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</si>
  <si>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</si>
  <si>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</si>
  <si>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</si>
  <si>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</si>
  <si>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</si>
  <si>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</si>
  <si>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</si>
  <si>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</si>
  <si>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</si>
  <si>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</si>
  <si>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</si>
  <si>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</si>
  <si>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</si>
  <si>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</si>
  <si>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</si>
  <si>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</si>
  <si>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</si>
  <si>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</si>
  <si>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</si>
  <si>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</si>
  <si>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</si>
  <si>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</si>
  <si>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</si>
  <si>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</si>
  <si>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</si>
  <si>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</si>
  <si>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</si>
  <si>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</si>
  <si>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</si>
  <si>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</si>
  <si>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</si>
  <si>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</si>
  <si>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</si>
  <si>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</si>
  <si>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</si>
  <si>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</si>
  <si>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</si>
  <si>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</si>
  <si>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</si>
  <si>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</si>
  <si>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</si>
  <si>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</si>
  <si>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</si>
  <si>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</si>
  <si>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</si>
  <si>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</si>
  <si>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</si>
  <si>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</si>
  <si>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</si>
  <si>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</si>
  <si>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</si>
  <si>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</si>
  <si>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</si>
  <si>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</si>
  <si>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</si>
  <si>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</si>
  <si>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</si>
  <si>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</si>
  <si>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</si>
  <si>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</si>
  <si>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</si>
  <si>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</si>
  <si>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</si>
  <si>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</si>
  <si>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</si>
  <si>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</si>
  <si>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</si>
  <si>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</si>
  <si>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</si>
  <si>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</si>
  <si>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</si>
  <si>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</si>
  <si>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</si>
  <si>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</si>
  <si>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</si>
  <si>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</si>
  <si>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</si>
  <si>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</si>
  <si>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</si>
  <si>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</si>
  <si>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</si>
  <si>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</si>
  <si>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</si>
  <si>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</si>
  <si>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</si>
  <si>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</si>
  <si>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</si>
  <si>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</si>
  <si>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</si>
  <si>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</si>
  <si>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</si>
  <si>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</si>
  <si>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</si>
  <si>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</si>
  <si>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</si>
  <si>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</si>
  <si>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</si>
  <si>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</si>
  <si>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</si>
  <si>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</si>
  <si>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</si>
  <si>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</si>
  <si>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</si>
  <si>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</si>
  <si>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</si>
  <si>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</si>
  <si>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</si>
  <si>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</si>
  <si>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</si>
  <si>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</si>
  <si>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</si>
  <si>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</si>
  <si>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</si>
  <si>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</si>
  <si>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</si>
  <si>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</si>
  <si>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</si>
  <si>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</si>
  <si>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</si>
  <si>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</si>
  <si>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</si>
  <si>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</si>
  <si>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</si>
  <si>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</si>
  <si>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</si>
  <si>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</si>
  <si>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</si>
  <si>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</si>
  <si>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</si>
  <si>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</si>
  <si>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</si>
  <si>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</si>
  <si>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</si>
  <si>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</si>
  <si>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</si>
  <si>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</si>
  <si>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</si>
  <si>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</si>
  <si>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</si>
  <si>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</si>
  <si>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</si>
  <si>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</si>
  <si>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</si>
  <si>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</si>
  <si>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</si>
  <si>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</si>
  <si>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</si>
  <si>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</si>
  <si>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</si>
  <si>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</si>
  <si>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</si>
  <si>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</si>
  <si>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</si>
  <si>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</si>
  <si>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</si>
  <si>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</si>
  <si>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</si>
  <si>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</si>
  <si>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</si>
  <si>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</si>
  <si>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</si>
  <si>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</si>
  <si>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</si>
  <si>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</si>
  <si>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</si>
  <si>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</si>
  <si>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</si>
  <si>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</si>
  <si>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</si>
  <si>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</si>
  <si>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</si>
  <si>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</si>
  <si>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</si>
  <si>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</si>
  <si>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</si>
  <si>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</si>
  <si>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</si>
  <si>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</si>
  <si>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</si>
  <si>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</si>
  <si>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</si>
  <si>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</si>
  <si>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</si>
  <si>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</si>
  <si>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</si>
  <si>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</si>
  <si>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</si>
  <si>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</si>
  <si>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</si>
  <si>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</si>
  <si>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</si>
  <si>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</si>
  <si>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</si>
  <si>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</si>
  <si>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</si>
  <si>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</si>
  <si>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</si>
  <si>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</si>
  <si>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</si>
  <si>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</si>
  <si>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</si>
  <si>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</si>
  <si>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</si>
  <si>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</si>
  <si>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</si>
  <si>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</si>
  <si>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</si>
  <si>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</si>
  <si>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</si>
  <si>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</si>
  <si>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</si>
  <si>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</si>
  <si>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</si>
  <si>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</si>
  <si>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</si>
  <si>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</si>
  <si>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</si>
  <si>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</si>
  <si>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</si>
  <si>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</si>
  <si>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</si>
  <si>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</si>
  <si>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</si>
  <si>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</si>
  <si>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</si>
  <si>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</si>
  <si>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</si>
  <si>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</si>
  <si>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</si>
  <si>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</si>
  <si>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</si>
  <si>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</si>
  <si>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</si>
  <si>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</si>
  <si>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</si>
  <si>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</si>
  <si>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</si>
  <si>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</si>
  <si>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</si>
  <si>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</si>
  <si>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</si>
  <si>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</si>
  <si>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</si>
  <si>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</si>
  <si>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</si>
  <si>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</si>
  <si>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</si>
  <si>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</si>
  <si>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</si>
  <si>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</si>
  <si>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</si>
  <si>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</si>
  <si>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</si>
  <si>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</si>
  <si>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</si>
  <si>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</si>
  <si>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</si>
  <si>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</si>
  <si>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</si>
  <si>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</si>
  <si>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</si>
  <si>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</si>
  <si>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</si>
  <si>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</si>
  <si>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</si>
  <si>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</si>
  <si>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</si>
  <si>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</si>
  <si>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</si>
  <si>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</si>
  <si>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</si>
  <si>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</si>
  <si>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</si>
  <si>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</si>
  <si>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</si>
  <si>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</si>
  <si>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</si>
  <si>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</si>
  <si>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</si>
  <si>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</si>
  <si>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</si>
  <si>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</si>
  <si>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</si>
  <si>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</si>
  <si>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</si>
  <si>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</si>
  <si>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</si>
  <si>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</si>
  <si>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</si>
  <si>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</si>
  <si>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</si>
  <si>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</si>
  <si>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</si>
  <si>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</si>
  <si>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</si>
  <si>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</si>
  <si>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</si>
  <si>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</si>
  <si>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</si>
  <si>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</si>
  <si>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</si>
  <si>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</si>
  <si>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</si>
  <si>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</si>
  <si>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</si>
  <si>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</si>
  <si>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</si>
  <si>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</si>
  <si>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</si>
  <si>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</si>
  <si>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</si>
  <si>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</si>
  <si>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</si>
  <si>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</si>
  <si>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</si>
  <si>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</si>
  <si>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</si>
  <si>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</si>
  <si>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</si>
  <si>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</si>
  <si>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</si>
  <si>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</si>
  <si>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</si>
  <si>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</si>
  <si>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</si>
  <si>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</si>
  <si>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</si>
  <si>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</si>
  <si>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</si>
  <si>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</si>
  <si>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</si>
  <si>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</si>
  <si>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</si>
  <si>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</si>
  <si>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</si>
  <si>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</si>
  <si>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</si>
  <si>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</si>
  <si>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</si>
  <si>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</si>
  <si>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</si>
  <si>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</si>
  <si>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</si>
  <si>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</si>
  <si>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</si>
  <si>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</si>
  <si>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</si>
  <si>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</si>
  <si>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</si>
  <si>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</si>
  <si>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</si>
  <si>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</si>
  <si>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</si>
  <si>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</si>
  <si>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</si>
  <si>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</si>
  <si>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</si>
  <si>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</si>
  <si>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</si>
  <si>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</si>
  <si>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</si>
  <si>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</si>
  <si>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</si>
  <si>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</si>
  <si>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</si>
  <si>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</si>
  <si>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</si>
  <si>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</si>
  <si>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</si>
  <si>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</si>
  <si>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</si>
  <si>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</si>
  <si>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</si>
  <si>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</si>
  <si>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</si>
  <si>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</si>
  <si>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</si>
  <si>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</si>
  <si>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</si>
  <si>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</si>
  <si>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</si>
  <si>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</si>
  <si>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</si>
  <si>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</si>
  <si>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</si>
  <si>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</si>
  <si>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</si>
  <si>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</si>
  <si>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</si>
  <si>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</si>
  <si>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</si>
  <si>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</si>
  <si>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</si>
  <si>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</si>
  <si>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</si>
  <si>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</si>
  <si>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</si>
  <si>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</si>
  <si>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</si>
  <si>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</si>
  <si>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</si>
  <si>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</si>
  <si>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</si>
  <si>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</si>
  <si>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</si>
  <si>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</si>
  <si>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</si>
  <si>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</si>
  <si>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</si>
  <si>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</si>
  <si>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</si>
  <si>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</si>
  <si>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</si>
  <si>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</si>
  <si>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</si>
  <si>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</si>
  <si>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</si>
  <si>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</si>
  <si>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</si>
  <si>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</si>
  <si>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</si>
  <si>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</si>
  <si>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</si>
  <si>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</si>
  <si>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</si>
  <si>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</si>
  <si>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</si>
  <si>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</si>
  <si>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</si>
  <si>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</si>
  <si>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</si>
  <si>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</si>
  <si>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</si>
  <si>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</si>
  <si>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</si>
  <si>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</si>
  <si>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</si>
  <si>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</si>
  <si>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</si>
  <si>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</si>
  <si>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</si>
  <si>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</si>
  <si>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</si>
  <si>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</si>
  <si>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</si>
  <si>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</si>
  <si>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</si>
  <si>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</si>
  <si>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</si>
  <si>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</si>
  <si>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</si>
  <si>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</si>
  <si>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</si>
  <si>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</si>
  <si>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</si>
  <si>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</si>
  <si>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</si>
  <si>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</si>
  <si>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</si>
  <si>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</si>
  <si>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</si>
  <si>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</si>
  <si>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</si>
  <si>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</si>
  <si>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</si>
  <si>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</si>
  <si>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</si>
  <si>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</si>
  <si>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</si>
  <si>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</si>
  <si>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</si>
  <si>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</si>
  <si>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</si>
  <si>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</si>
  <si>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</si>
  <si>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</si>
  <si>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</si>
  <si>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</si>
  <si>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</si>
  <si>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</si>
  <si>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</si>
  <si>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</si>
  <si>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</si>
  <si>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</si>
  <si>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</si>
  <si>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</si>
  <si>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</si>
  <si>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</si>
  <si>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</si>
  <si>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</si>
  <si>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</si>
  <si>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</si>
  <si>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</si>
  <si>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</si>
  <si>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</si>
  <si>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</si>
  <si>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</si>
  <si>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</si>
  <si>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</si>
  <si>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</si>
  <si>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</si>
  <si>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</si>
  <si>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</si>
  <si>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</si>
  <si>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</si>
  <si>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</si>
  <si>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</si>
  <si>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</si>
  <si>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</si>
  <si>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</si>
  <si>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</si>
  <si>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</si>
  <si>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</si>
  <si>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</si>
  <si>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</si>
  <si>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</si>
  <si>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</si>
  <si>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</si>
  <si>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</si>
  <si>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</si>
  <si>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</si>
  <si>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</si>
  <si>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</si>
  <si>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</si>
  <si>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</si>
  <si>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</si>
  <si>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</si>
  <si>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</si>
  <si>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</si>
  <si>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</si>
  <si>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</si>
  <si>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</si>
  <si>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</si>
  <si>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</si>
  <si>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</si>
  <si>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</si>
  <si>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</si>
  <si>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</si>
  <si>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</si>
  <si>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</si>
  <si>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</si>
  <si>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</si>
  <si>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</si>
  <si>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</si>
  <si>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</si>
  <si>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</si>
  <si>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</si>
  <si>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</si>
  <si>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</si>
  <si>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</si>
  <si>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</si>
  <si>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</si>
  <si>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</si>
  <si>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</si>
  <si>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</si>
  <si>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</si>
  <si>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</si>
  <si>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</si>
  <si>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</si>
  <si>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</si>
  <si>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</si>
  <si>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</si>
  <si>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</si>
  <si>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</si>
  <si>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</si>
  <si>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</si>
  <si>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</si>
  <si>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</si>
  <si>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</si>
  <si>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</si>
  <si>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</si>
  <si>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</si>
  <si>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</si>
  <si>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</si>
  <si>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</si>
  <si>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</si>
  <si>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</si>
  <si>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</si>
  <si>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</si>
  <si>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</si>
  <si>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</si>
  <si>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</si>
  <si>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</si>
  <si>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</si>
  <si>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</si>
  <si>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</si>
  <si>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</si>
  <si>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</si>
  <si>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</si>
  <si>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</si>
  <si>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</si>
  <si>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</si>
  <si>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</si>
  <si>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</si>
  <si>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</si>
  <si>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</si>
  <si>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</si>
  <si>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</si>
  <si>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</si>
  <si>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</si>
  <si>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</si>
  <si>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</si>
  <si>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</si>
  <si>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</si>
  <si>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</si>
  <si>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</si>
  <si>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</si>
  <si>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</si>
  <si>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</si>
  <si>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</si>
  <si>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</si>
  <si>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</si>
  <si>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</si>
  <si>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</si>
  <si>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</si>
  <si>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</si>
  <si>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</si>
  <si>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</si>
  <si>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</si>
  <si>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</si>
  <si>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</si>
  <si>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</si>
  <si>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</si>
  <si>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</si>
  <si>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</si>
  <si>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</si>
  <si>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</si>
  <si>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</si>
  <si>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</si>
  <si>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</si>
  <si>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</si>
  <si>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</si>
  <si>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</si>
  <si>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</si>
  <si>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</si>
  <si>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</si>
  <si>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</si>
  <si>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</si>
  <si>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</si>
  <si>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</si>
  <si>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</si>
  <si>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</si>
  <si>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</si>
  <si>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</si>
  <si>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</si>
  <si>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</si>
  <si>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</si>
  <si>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</si>
  <si>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</si>
  <si>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</si>
  <si>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</si>
  <si>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</si>
  <si>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</si>
  <si>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</si>
  <si>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</si>
  <si>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</si>
  <si>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</si>
  <si>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</si>
  <si>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</si>
  <si>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</si>
  <si>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</si>
  <si>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</si>
  <si>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</si>
  <si>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</si>
  <si>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</si>
  <si>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</si>
  <si>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</si>
  <si>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</si>
  <si>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</si>
  <si>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</si>
  <si>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</si>
  <si>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</si>
  <si>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</si>
  <si>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</si>
  <si>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</si>
  <si>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</si>
  <si>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</si>
  <si>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</si>
  <si>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</si>
  <si>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</si>
  <si>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</si>
  <si>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</si>
  <si>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</si>
  <si>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</si>
  <si>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</si>
  <si>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</si>
  <si>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</si>
  <si>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</si>
  <si>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</si>
  <si>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</si>
  <si>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</si>
  <si>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</si>
  <si>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</si>
  <si>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</si>
  <si>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</si>
  <si>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</si>
  <si>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</si>
  <si>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</si>
  <si>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</si>
  <si>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</si>
  <si>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</si>
  <si>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</si>
  <si>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</si>
  <si>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</si>
  <si>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</si>
  <si>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</si>
  <si>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</si>
  <si>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</si>
  <si>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</si>
  <si>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</si>
  <si>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</si>
  <si>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</si>
  <si>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</si>
  <si>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</si>
  <si>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</si>
  <si>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</si>
  <si>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</si>
  <si>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</si>
  <si>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</si>
  <si>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</si>
  <si>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</si>
  <si>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</si>
  <si>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</si>
  <si>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</si>
  <si>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</si>
  <si>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</si>
  <si>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</si>
  <si>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</si>
  <si>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</si>
  <si>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</si>
  <si>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</si>
  <si>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</si>
  <si>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</si>
  <si>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</si>
  <si>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</si>
  <si>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</si>
  <si>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</si>
  <si>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</si>
  <si>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</si>
  <si>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</si>
  <si>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</si>
  <si>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</si>
  <si>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</si>
  <si>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</si>
  <si>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</si>
  <si>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</si>
  <si>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</si>
  <si>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</si>
  <si>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</si>
  <si>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</si>
  <si>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</si>
  <si>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</si>
  <si>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</si>
  <si>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</si>
  <si>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</si>
  <si>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</si>
  <si>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</si>
  <si>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</si>
  <si>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</si>
  <si>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</si>
  <si>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</si>
  <si>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</si>
  <si>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</si>
  <si>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</si>
  <si>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</si>
  <si>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</si>
  <si>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</si>
  <si>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</si>
  <si>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</si>
  <si>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</si>
  <si>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</si>
  <si>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</si>
  <si>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</si>
  <si>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</si>
  <si>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</si>
  <si>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</si>
  <si>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</si>
  <si>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</si>
  <si>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</si>
  <si>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</si>
  <si>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</si>
  <si>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</si>
  <si>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</si>
  <si>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</si>
  <si>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</si>
  <si>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</si>
  <si>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</si>
  <si>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</si>
  <si>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</si>
  <si>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</si>
  <si>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</si>
  <si>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</si>
  <si>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</si>
  <si>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</si>
  <si>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</si>
  <si>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</si>
  <si>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</si>
  <si>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</si>
  <si>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</si>
  <si>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</si>
  <si>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</si>
  <si>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</si>
  <si>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</si>
  <si>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</si>
  <si>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</si>
  <si>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</si>
  <si>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</si>
  <si>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</si>
  <si>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</si>
  <si>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</si>
  <si>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</si>
  <si>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</si>
  <si>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</si>
  <si>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</si>
  <si>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</si>
  <si>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</si>
  <si>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</si>
  <si>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</si>
  <si>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</si>
  <si>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</si>
  <si>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</si>
  <si>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</si>
  <si>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</si>
  <si>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</si>
  <si>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</si>
  <si>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</si>
  <si>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</si>
  <si>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</si>
  <si>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</si>
  <si>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</si>
  <si>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</si>
  <si>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</si>
  <si>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</si>
  <si>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</si>
  <si>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</si>
  <si>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</si>
  <si>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</si>
  <si>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</si>
  <si>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</si>
  <si>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</si>
  <si>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</si>
  <si>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</si>
  <si>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</si>
  <si>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</si>
  <si>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</si>
  <si>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</si>
  <si>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</si>
  <si>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</si>
  <si>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</si>
  <si>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</si>
  <si>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</si>
  <si>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</si>
  <si>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</si>
  <si>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</si>
  <si>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</si>
  <si>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</si>
  <si>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</si>
  <si>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</si>
  <si>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</si>
  <si>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</si>
  <si>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</si>
  <si>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</si>
  <si>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</si>
  <si>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</si>
  <si>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</si>
  <si>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</si>
  <si>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</si>
  <si>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</si>
  <si>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</si>
  <si>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</si>
  <si>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</si>
  <si>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</si>
  <si>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</si>
  <si>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</si>
  <si>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</si>
  <si>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</si>
  <si>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</si>
  <si>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</si>
  <si>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</si>
  <si>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</si>
  <si>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</si>
  <si>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</si>
  <si>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</si>
  <si>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</si>
  <si>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</si>
  <si>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</si>
  <si>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</si>
  <si>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</si>
  <si>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</si>
  <si>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</si>
  <si>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</si>
  <si>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</si>
  <si>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</si>
  <si>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</si>
  <si>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</si>
  <si>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</si>
  <si>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</si>
  <si>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</si>
  <si>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</si>
  <si>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</si>
  <si>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</si>
  <si>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</si>
  <si>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</si>
  <si>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</si>
  <si>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</si>
  <si>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</si>
  <si>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</si>
  <si>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</si>
  <si>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</si>
  <si>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</si>
  <si>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</si>
  <si>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</si>
  <si>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</si>
  <si>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</si>
  <si>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</si>
  <si>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</si>
  <si>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</si>
  <si>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</si>
  <si>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</si>
  <si>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</si>
  <si>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</si>
  <si>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</si>
  <si>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</si>
  <si>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</si>
  <si>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</si>
  <si>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</si>
  <si>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</si>
  <si>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</si>
  <si>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</si>
  <si>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</si>
  <si>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</si>
  <si>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</si>
  <si>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</si>
  <si>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</si>
  <si>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</si>
  <si>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</si>
  <si>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</si>
  <si>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</si>
  <si>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</si>
  <si>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</si>
  <si>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</si>
  <si>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</si>
  <si>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</si>
  <si>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</si>
  <si>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</si>
  <si>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</si>
  <si>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</si>
  <si>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</si>
  <si>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</si>
  <si>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</si>
  <si>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</si>
  <si>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</si>
  <si>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</si>
  <si>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</si>
  <si>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</si>
  <si>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</si>
  <si>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</si>
  <si>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</si>
  <si>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</si>
  <si>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</si>
  <si>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</si>
  <si>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</si>
  <si>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</si>
  <si>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</si>
  <si>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</si>
  <si>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</si>
  <si>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</si>
  <si>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</si>
  <si>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</si>
  <si>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</si>
  <si>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</si>
  <si>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</si>
  <si>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</si>
  <si>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</si>
  <si>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</si>
  <si>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</si>
  <si>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</si>
  <si>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</si>
  <si>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</si>
  <si>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</si>
  <si>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</si>
  <si>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</si>
  <si>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</si>
  <si>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</si>
  <si>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</si>
  <si>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</si>
  <si>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</si>
  <si>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</si>
  <si>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</si>
  <si>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</si>
  <si>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</si>
  <si>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</si>
  <si>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</si>
  <si>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</si>
  <si>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</si>
  <si>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</si>
  <si>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</si>
  <si>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</si>
  <si>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</si>
  <si>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</si>
  <si>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</si>
  <si>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</si>
  <si>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</si>
  <si>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</si>
  <si>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</si>
  <si>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</si>
  <si>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</si>
  <si>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</si>
  <si>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</si>
  <si>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</si>
  <si>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</si>
  <si>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</si>
  <si>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</si>
  <si>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</si>
  <si>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</si>
  <si>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</si>
  <si>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</si>
  <si>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</si>
  <si>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</si>
  <si>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</si>
  <si>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</si>
  <si>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</si>
  <si>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</si>
  <si>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</si>
  <si>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</si>
  <si>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</si>
  <si>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</si>
  <si>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</si>
  <si>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</si>
  <si>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</si>
  <si>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</si>
  <si>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</si>
  <si>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</si>
  <si>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</si>
  <si>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</si>
  <si>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</si>
  <si>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</si>
  <si>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</si>
  <si>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</si>
  <si>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</si>
  <si>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</si>
  <si>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</si>
  <si>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</si>
  <si>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</si>
  <si>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</si>
  <si>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</si>
  <si>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</si>
  <si>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</si>
  <si>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</si>
  <si>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</si>
  <si>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</si>
  <si>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</si>
  <si>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</si>
  <si>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</si>
  <si>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</si>
  <si>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</si>
  <si>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</si>
  <si>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</si>
  <si>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</si>
  <si>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</si>
  <si>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</si>
  <si>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</si>
  <si>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</si>
  <si>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</si>
  <si>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</si>
  <si>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</si>
  <si>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</si>
  <si>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</si>
  <si>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</si>
  <si>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</si>
  <si>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</si>
  <si>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</si>
  <si>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</si>
  <si>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</si>
  <si>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</si>
  <si>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</si>
  <si>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</si>
  <si>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</si>
  <si>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</si>
  <si>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</si>
  <si>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</si>
  <si>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</si>
  <si>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</si>
  <si>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</si>
  <si>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</si>
  <si>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</si>
  <si>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</si>
  <si>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</si>
  <si>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</si>
  <si>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</si>
  <si>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</si>
  <si>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</si>
  <si>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</si>
  <si>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</si>
  <si>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</si>
  <si>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</si>
  <si>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</si>
  <si>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</si>
  <si>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</si>
  <si>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</si>
  <si>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</si>
  <si>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</si>
  <si>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</si>
  <si>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</si>
  <si>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</si>
  <si>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</si>
  <si>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</si>
  <si>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</si>
  <si>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</si>
  <si>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</si>
  <si>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</si>
  <si>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</si>
  <si>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</si>
  <si>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</si>
  <si>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</si>
  <si>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</si>
  <si>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</si>
  <si>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</si>
  <si>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</si>
  <si>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</si>
  <si>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</si>
  <si>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</si>
  <si>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</si>
  <si>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</si>
  <si>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</si>
  <si>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</si>
  <si>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</si>
  <si>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</si>
  <si>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</si>
  <si>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</si>
  <si>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</si>
  <si>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</si>
  <si>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</si>
  <si>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</si>
  <si>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</si>
  <si>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</si>
  <si>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</si>
  <si>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</si>
  <si>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</si>
  <si>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</si>
  <si>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</si>
  <si>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</si>
  <si>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</si>
  <si>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</si>
  <si>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</si>
  <si>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</si>
  <si>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</si>
  <si>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</si>
  <si>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</si>
  <si>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</si>
  <si>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</si>
  <si>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</si>
  <si>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</si>
  <si>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</si>
  <si>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</si>
  <si>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</si>
  <si>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</si>
  <si>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</si>
  <si>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</si>
  <si>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</si>
  <si>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</si>
  <si>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</si>
  <si>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</si>
  <si>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</si>
  <si>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</si>
  <si>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</si>
  <si>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</si>
  <si>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</si>
  <si>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</si>
  <si>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</si>
  <si>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</si>
  <si>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</si>
  <si>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</si>
  <si>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</si>
  <si>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</si>
  <si>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</si>
  <si>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</si>
  <si>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</si>
  <si>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</si>
  <si>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</si>
  <si>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</si>
  <si>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</si>
  <si>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</si>
  <si>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</si>
  <si>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</si>
  <si>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</si>
  <si>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</si>
  <si>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</si>
  <si>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</si>
  <si>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</si>
  <si>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</si>
  <si>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</si>
  <si>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</si>
  <si>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</si>
  <si>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</si>
  <si>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</si>
  <si>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</si>
  <si>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</si>
  <si>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</si>
  <si>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</si>
  <si>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</si>
  <si>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</si>
  <si>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</si>
  <si>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</si>
  <si>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</si>
  <si>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</si>
  <si>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</si>
  <si>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</si>
  <si>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</si>
  <si>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</si>
  <si>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</si>
  <si>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</si>
  <si>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</si>
  <si>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</si>
  <si>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</si>
  <si>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</si>
  <si>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</si>
  <si>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</si>
  <si>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</si>
  <si>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</si>
  <si>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</si>
  <si>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</si>
  <si>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</si>
  <si>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</si>
  <si>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</si>
  <si>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</si>
  <si>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</si>
  <si>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</si>
  <si>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</si>
  <si>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</si>
  <si>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</si>
  <si>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</si>
  <si>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</si>
  <si>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</si>
  <si>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</si>
  <si>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</si>
  <si>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</si>
  <si>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</si>
  <si>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</si>
  <si>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</si>
  <si>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</si>
  <si>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</si>
  <si>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</si>
  <si>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</si>
  <si>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</si>
  <si>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</si>
  <si>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</si>
  <si>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</si>
  <si>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</si>
  <si>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</si>
  <si>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</si>
  <si>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</si>
  <si>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</si>
  <si>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</si>
  <si>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</si>
  <si>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</si>
  <si>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</si>
  <si>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</si>
  <si>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</si>
  <si>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</si>
  <si>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</si>
  <si>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</si>
  <si>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</si>
  <si>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</si>
  <si>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</si>
  <si>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</si>
  <si>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</si>
  <si>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</si>
  <si>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</si>
  <si>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</si>
  <si>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</si>
  <si>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</si>
  <si>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</si>
  <si>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</si>
  <si>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</si>
  <si>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</si>
  <si>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</si>
  <si>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</si>
  <si>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</si>
  <si>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</si>
  <si>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</si>
  <si>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</si>
  <si>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</si>
  <si>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</si>
  <si>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</si>
  <si>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</si>
  <si>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</si>
  <si>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</si>
  <si>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</si>
  <si>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</si>
  <si>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</si>
  <si>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</si>
  <si>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</si>
  <si>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</si>
  <si>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</si>
  <si>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</si>
  <si>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</si>
  <si>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</si>
  <si>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</si>
  <si>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</si>
  <si>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</si>
  <si>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</si>
  <si>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</si>
  <si>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</si>
  <si>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</si>
  <si>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</si>
  <si>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</si>
  <si>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</si>
  <si>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</si>
  <si>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</si>
  <si>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</si>
  <si>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</si>
  <si>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</si>
  <si>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</si>
  <si>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</si>
  <si>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</si>
  <si>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</si>
  <si>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</si>
  <si>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</si>
  <si>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</si>
  <si>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</si>
  <si>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</si>
  <si>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</si>
  <si>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</si>
  <si>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</si>
  <si>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</si>
  <si>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</si>
  <si>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</si>
  <si>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</si>
  <si>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</si>
  <si>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</si>
  <si>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</si>
  <si>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</si>
  <si>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</si>
  <si>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</si>
  <si>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</si>
  <si>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</si>
  <si>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</si>
  <si>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</si>
  <si>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</si>
  <si>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</si>
  <si>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</si>
  <si>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</si>
  <si>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</si>
  <si>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</si>
  <si>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</si>
  <si>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</si>
  <si>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</si>
  <si>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</si>
  <si>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</si>
  <si>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</si>
  <si>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</si>
  <si>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</si>
  <si>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</si>
  <si>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</si>
  <si>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</si>
  <si>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</si>
  <si>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</si>
  <si>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</si>
  <si>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</si>
  <si>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</si>
  <si>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</si>
  <si>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</si>
  <si>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</si>
  <si>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</si>
  <si>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</si>
  <si>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</si>
  <si>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</si>
  <si>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</si>
  <si>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</si>
  <si>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</si>
  <si>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</si>
  <si>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</si>
  <si>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</si>
  <si>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</si>
  <si>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</si>
  <si>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</si>
  <si>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</si>
  <si>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</si>
  <si>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</si>
  <si>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</si>
  <si>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</si>
  <si>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</si>
  <si>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</si>
  <si>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</si>
  <si>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</si>
  <si>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</si>
  <si>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</si>
  <si>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</si>
  <si>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</si>
  <si>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</si>
  <si>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</si>
  <si>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</si>
  <si>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</si>
  <si>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</si>
  <si>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</si>
  <si>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</si>
  <si>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</si>
  <si>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</si>
  <si>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</si>
  <si>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</si>
  <si>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</si>
  <si>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</si>
  <si>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</si>
  <si>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</si>
  <si>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</si>
  <si>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</si>
  <si>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</si>
  <si>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</si>
  <si>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</si>
  <si>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</si>
  <si>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</si>
  <si>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</si>
  <si>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</si>
  <si>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</si>
  <si>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</si>
  <si>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</si>
  <si>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</si>
  <si>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</si>
  <si>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</si>
  <si>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</si>
  <si>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</si>
  <si>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</si>
  <si>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</si>
  <si>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</si>
  <si>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</si>
  <si>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</si>
  <si>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</si>
  <si>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</si>
  <si>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</si>
  <si>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</si>
  <si>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</si>
  <si>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</si>
  <si>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</si>
  <si>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</si>
  <si>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</si>
  <si>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</si>
  <si>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</si>
  <si>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</si>
  <si>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</si>
  <si>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</si>
  <si>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</si>
  <si>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</si>
  <si>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</si>
  <si>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</si>
  <si>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</si>
  <si>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</si>
  <si>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</si>
  <si>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</si>
  <si>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</si>
  <si>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</si>
  <si>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</si>
  <si>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</si>
  <si>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</si>
  <si>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</si>
  <si>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</si>
  <si>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</si>
  <si>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</si>
  <si>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</si>
  <si>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</si>
  <si>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</si>
  <si>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</si>
  <si>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</si>
  <si>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</si>
  <si>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</si>
  <si>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</si>
  <si>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</si>
  <si>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</si>
  <si>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</si>
  <si>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</si>
  <si>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</si>
  <si>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</si>
  <si>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</si>
  <si>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</si>
  <si>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</si>
  <si>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</si>
  <si>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</si>
  <si>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</si>
  <si>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</si>
  <si>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</si>
  <si>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</si>
  <si>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</si>
  <si>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</si>
  <si>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</si>
  <si>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</si>
  <si>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</si>
  <si>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</si>
  <si>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</si>
  <si>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</si>
  <si>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</si>
  <si>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</si>
  <si>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</si>
  <si>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</si>
  <si>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</si>
  <si>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</si>
  <si>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</si>
  <si>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</si>
  <si>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</si>
  <si>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</si>
  <si>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</si>
  <si>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</si>
  <si>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</si>
  <si>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</si>
  <si>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</si>
  <si>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</si>
  <si>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</si>
  <si>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</si>
  <si>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</si>
  <si>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</si>
  <si>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</si>
  <si>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</si>
  <si>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</si>
  <si>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</si>
  <si>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</si>
  <si>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</si>
  <si>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</si>
  <si>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</si>
  <si>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</si>
  <si>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</si>
  <si>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</si>
  <si>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</si>
  <si>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</si>
  <si>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</si>
  <si>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</si>
  <si>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</si>
  <si>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</si>
  <si>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</si>
  <si>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</si>
  <si>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</si>
  <si>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</si>
  <si>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</si>
  <si>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</si>
  <si>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</si>
  <si>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</si>
  <si>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</si>
  <si>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</si>
  <si>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</si>
  <si>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</si>
  <si>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</si>
  <si>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</si>
  <si>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</si>
  <si>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</si>
  <si>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</si>
  <si>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</si>
  <si>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</si>
  <si>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</si>
  <si>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</si>
  <si>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</si>
  <si>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</si>
  <si>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</si>
  <si>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</si>
  <si>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</si>
  <si>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</si>
  <si>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</si>
  <si>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</si>
  <si>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</si>
  <si>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</si>
  <si>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</si>
  <si>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</si>
  <si>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</si>
  <si>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</si>
  <si>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</si>
  <si>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</si>
  <si>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</si>
  <si>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</si>
  <si>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</si>
  <si>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</si>
  <si>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</si>
  <si>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</si>
  <si>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</si>
  <si>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</si>
  <si>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</si>
  <si>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</si>
  <si>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</si>
  <si>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</si>
  <si>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</si>
  <si>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</si>
  <si>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</si>
  <si>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</si>
  <si>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</si>
  <si>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</si>
  <si>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</si>
  <si>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</si>
  <si>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</si>
  <si>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</si>
  <si>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</si>
  <si>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</si>
  <si>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</si>
  <si>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</si>
  <si>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</si>
  <si>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</si>
  <si>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</si>
  <si>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</si>
  <si>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</si>
  <si>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</si>
  <si>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</si>
  <si>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</si>
  <si>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</si>
  <si>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</si>
  <si>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</si>
  <si>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</si>
  <si>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</si>
  <si>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</si>
  <si>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</si>
  <si>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</si>
  <si>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</si>
  <si>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</si>
  <si>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</si>
  <si>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</si>
  <si>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</si>
  <si>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</si>
  <si>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</si>
  <si>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</si>
  <si>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</si>
  <si>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</si>
  <si>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</si>
  <si>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</si>
  <si>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</si>
  <si>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</si>
  <si>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</si>
  <si>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</si>
  <si>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</si>
  <si>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</si>
  <si>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</si>
  <si>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</si>
  <si>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</si>
  <si>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</si>
  <si>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</si>
  <si>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</si>
  <si>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</si>
  <si>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</si>
  <si>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</si>
  <si>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</si>
  <si>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</si>
  <si>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</si>
  <si>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</si>
  <si>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</si>
  <si>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</si>
  <si>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</si>
  <si>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</si>
  <si>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</si>
  <si>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</si>
  <si>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</si>
  <si>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</si>
  <si>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</si>
  <si>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</si>
  <si>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</si>
  <si>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</si>
  <si>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</si>
  <si>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</si>
  <si>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</si>
  <si>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</si>
  <si>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</si>
  <si>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</si>
  <si>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</si>
  <si>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</si>
  <si>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</si>
  <si>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</si>
  <si>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</si>
  <si>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</si>
  <si>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</si>
  <si>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</si>
  <si>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</si>
  <si>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</si>
  <si>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</si>
  <si>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</si>
  <si>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</si>
  <si>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</si>
  <si>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</si>
  <si>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</si>
  <si>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</si>
  <si>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</si>
  <si>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</si>
  <si>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</si>
  <si>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</si>
  <si>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</si>
  <si>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</si>
  <si>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</si>
  <si>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</si>
  <si>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</si>
  <si>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</si>
  <si>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</si>
  <si>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</si>
  <si>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</si>
  <si>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</si>
  <si>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</si>
  <si>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</si>
  <si>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</si>
  <si>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</si>
  <si>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</si>
  <si>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</si>
  <si>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</si>
  <si>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</si>
  <si>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</si>
  <si>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</si>
  <si>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</si>
  <si>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</si>
  <si>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</si>
  <si>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</si>
  <si>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</si>
  <si>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</si>
  <si>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</si>
  <si>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</si>
  <si>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</si>
  <si>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</si>
  <si>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</si>
  <si>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</si>
  <si>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</si>
  <si>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</si>
  <si>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</si>
  <si>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</si>
  <si>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</si>
  <si>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</si>
  <si>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</si>
  <si>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</si>
  <si>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</si>
  <si>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</si>
  <si>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</si>
  <si>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</si>
  <si>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</si>
  <si>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</si>
  <si>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</si>
  <si>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</si>
  <si>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</si>
  <si>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</si>
  <si>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</si>
  <si>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</si>
  <si>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</si>
  <si>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</si>
  <si>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</si>
  <si>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</si>
  <si>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</si>
  <si>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</si>
  <si>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</si>
  <si>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</si>
  <si>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</si>
  <si>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</si>
  <si>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</si>
  <si>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</si>
  <si>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</si>
  <si>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</si>
  <si>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</si>
  <si>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</si>
  <si>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</si>
  <si>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</si>
  <si>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</si>
  <si>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</si>
  <si>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</si>
  <si>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</si>
  <si>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</si>
  <si>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</si>
  <si>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</si>
  <si>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</si>
  <si>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</si>
  <si>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</si>
  <si>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</si>
  <si>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</si>
  <si>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</si>
  <si>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</si>
  <si>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</si>
  <si>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</si>
  <si>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</si>
  <si>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</si>
  <si>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</si>
  <si>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</si>
  <si>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</si>
  <si>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</si>
  <si>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</si>
  <si>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</si>
  <si>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</si>
  <si>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</si>
  <si>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</si>
  <si>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</si>
  <si>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</si>
  <si>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</si>
  <si>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</si>
  <si>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</si>
  <si>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</si>
  <si>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</si>
  <si>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</si>
  <si>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</si>
  <si>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</si>
  <si>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</si>
  <si>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</si>
  <si>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</si>
  <si>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</si>
  <si>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</si>
  <si>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</si>
  <si>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</si>
  <si>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</si>
  <si>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</si>
  <si>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</si>
  <si>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</si>
  <si>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</si>
  <si>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</si>
  <si>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</si>
  <si>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</si>
  <si>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</si>
  <si>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</si>
  <si>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</si>
  <si>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</si>
  <si>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</si>
  <si>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</si>
  <si>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</si>
  <si>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</si>
  <si>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</si>
  <si>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</si>
  <si>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</si>
  <si>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</si>
  <si>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</si>
  <si>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</si>
  <si>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</si>
  <si>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</si>
  <si>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</si>
  <si>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</si>
  <si>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</si>
  <si>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</si>
  <si>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</si>
  <si>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</si>
  <si>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</si>
  <si>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</si>
  <si>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</si>
  <si>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</si>
  <si>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</si>
  <si>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</si>
  <si>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</si>
  <si>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</si>
  <si>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</si>
  <si>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</si>
  <si>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</si>
  <si>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</si>
  <si>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</si>
  <si>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</si>
  <si>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</si>
  <si>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</si>
  <si>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</si>
  <si>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</si>
  <si>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</si>
  <si>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</si>
  <si>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</si>
  <si>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</si>
  <si>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</si>
  <si>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</si>
  <si>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</si>
  <si>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</si>
  <si>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</si>
  <si>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</si>
  <si>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</si>
  <si>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</si>
  <si>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</si>
  <si>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</si>
  <si>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</si>
  <si>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</si>
  <si>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</si>
  <si>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</si>
  <si>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</si>
  <si>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</si>
  <si>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</si>
  <si>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</si>
  <si>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</si>
  <si>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</si>
  <si>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</si>
  <si>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</si>
  <si>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</si>
  <si>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</si>
  <si>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</si>
  <si>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</si>
  <si>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</si>
  <si>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</si>
  <si>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</si>
  <si>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</si>
  <si>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</si>
  <si>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</si>
  <si>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</si>
  <si>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</si>
  <si>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</si>
  <si>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</si>
  <si>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</si>
  <si>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</si>
  <si>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</si>
  <si>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</si>
  <si>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</si>
  <si>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</si>
  <si>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</si>
  <si>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</si>
  <si>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</si>
  <si>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</si>
  <si>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</si>
  <si>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</si>
  <si>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</si>
  <si>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</si>
  <si>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</si>
  <si>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</si>
  <si>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</si>
  <si>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</si>
  <si>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</si>
  <si>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</si>
  <si>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</si>
  <si>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</si>
  <si>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</si>
  <si>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</si>
  <si>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</si>
  <si>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</si>
  <si>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</si>
  <si>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</si>
  <si>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</si>
  <si>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</si>
  <si>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</si>
  <si>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</si>
  <si>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</si>
  <si>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</si>
  <si>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</si>
  <si>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</si>
  <si>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</si>
  <si>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</si>
  <si>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</si>
  <si>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</si>
  <si>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</si>
  <si>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</si>
  <si>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</si>
  <si>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</si>
  <si>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</si>
  <si>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</si>
  <si>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</si>
  <si>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</si>
  <si>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</si>
  <si>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</si>
  <si>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</si>
  <si>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</si>
  <si>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</si>
  <si>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</si>
  <si>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</si>
  <si>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</si>
  <si>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</si>
  <si>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</si>
  <si>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</si>
  <si>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</si>
  <si>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</si>
  <si>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</si>
  <si>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</si>
  <si>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</si>
  <si>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</si>
  <si>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</si>
  <si>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</si>
  <si>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</si>
  <si>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</si>
  <si>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</si>
  <si>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</si>
  <si>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</si>
  <si>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</si>
  <si>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</si>
  <si>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</si>
  <si>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</si>
  <si>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</si>
  <si>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</si>
  <si>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</si>
  <si>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</si>
  <si>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</si>
  <si>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</si>
  <si>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</si>
  <si>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</si>
  <si>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</si>
  <si>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</si>
  <si>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</si>
  <si>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</si>
  <si>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</si>
  <si>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</si>
  <si>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</si>
  <si>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</si>
  <si>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</si>
  <si>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</si>
  <si>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</si>
  <si>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</si>
  <si>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</si>
  <si>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</si>
  <si>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</si>
  <si>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</si>
  <si>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</si>
  <si>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</si>
  <si>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</si>
  <si>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</si>
  <si>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</si>
  <si>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</si>
  <si>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</si>
  <si>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</si>
  <si>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</si>
  <si>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</si>
  <si>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</si>
  <si>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</si>
  <si>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</si>
  <si>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</si>
  <si>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</si>
  <si>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</si>
  <si>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</si>
  <si>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</si>
  <si>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</si>
  <si>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</si>
  <si>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</si>
  <si>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</si>
  <si>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</si>
  <si>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</si>
  <si>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</si>
  <si>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</si>
  <si>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</si>
  <si>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</si>
  <si>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</si>
  <si>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</si>
  <si>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</si>
  <si>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</si>
  <si>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</si>
  <si>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</si>
  <si>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</si>
  <si>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</si>
  <si>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</si>
  <si>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</si>
  <si>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</si>
  <si>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</si>
  <si>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</si>
  <si>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</si>
  <si>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</si>
  <si>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</si>
  <si>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</si>
  <si>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</si>
  <si>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</si>
  <si>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</si>
  <si>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</si>
  <si>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</si>
  <si>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</si>
  <si>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</si>
  <si>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</si>
  <si>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</si>
  <si>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</si>
  <si>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</si>
  <si>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</si>
  <si>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</si>
  <si>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</si>
  <si>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</si>
  <si>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</si>
  <si>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</si>
  <si>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</si>
  <si>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</si>
  <si>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</si>
  <si>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</si>
  <si>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</si>
  <si>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</si>
  <si>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</si>
  <si>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</si>
  <si>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</si>
  <si>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</si>
  <si>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</si>
  <si>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</si>
  <si>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</si>
  <si>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</si>
  <si>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</si>
  <si>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</si>
  <si>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</si>
  <si>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</si>
  <si>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</si>
  <si>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</si>
  <si>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</si>
  <si>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</si>
  <si>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</si>
  <si>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</si>
  <si>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</si>
  <si>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</si>
  <si>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</si>
  <si>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</si>
  <si>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</si>
  <si>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</si>
  <si>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</si>
  <si>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</si>
  <si>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</si>
  <si>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</si>
  <si>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</si>
  <si>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</si>
  <si>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</si>
  <si>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</si>
  <si>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</si>
  <si>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</si>
  <si>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</si>
  <si>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</si>
  <si>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</si>
  <si>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</si>
  <si>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</si>
  <si>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</si>
  <si>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</si>
  <si>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</si>
  <si>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</si>
  <si>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</si>
  <si>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</si>
  <si>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</si>
  <si>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</si>
  <si>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</si>
  <si>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</si>
  <si>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</si>
  <si>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</si>
  <si>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</si>
  <si>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</si>
  <si>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</si>
  <si>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</si>
  <si>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</si>
  <si>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</si>
  <si>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</si>
  <si>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</si>
  <si>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</si>
  <si>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</si>
  <si>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</si>
  <si>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</si>
  <si>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</si>
  <si>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</si>
  <si>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</si>
  <si>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</si>
  <si>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</si>
  <si>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</si>
  <si>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</si>
  <si>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</si>
  <si>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</si>
  <si>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</si>
  <si>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</si>
  <si>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</si>
  <si>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</si>
  <si>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</si>
  <si>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</si>
  <si>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</si>
  <si>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</si>
  <si>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</si>
  <si>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</si>
  <si>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</si>
  <si>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</si>
  <si>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</si>
  <si>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</si>
  <si>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</si>
  <si>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</si>
  <si>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</si>
  <si>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</si>
  <si>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</si>
  <si>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</si>
  <si>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</si>
  <si>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</si>
  <si>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</si>
  <si>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</si>
  <si>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</si>
  <si>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</si>
  <si>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</si>
  <si>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</si>
  <si>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</si>
  <si>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</si>
  <si>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</si>
  <si>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</si>
  <si>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</si>
  <si>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</si>
  <si>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</si>
  <si>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</si>
  <si>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</si>
  <si>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</si>
  <si>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</si>
  <si>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</si>
  <si>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</si>
  <si>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</si>
  <si>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</si>
  <si>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</si>
  <si>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</si>
  <si>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</si>
  <si>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</si>
  <si>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</si>
  <si>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</si>
  <si>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</si>
  <si>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</si>
  <si>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</si>
  <si>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</si>
  <si>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</si>
  <si>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</si>
  <si>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</si>
  <si>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</si>
  <si>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</si>
  <si>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</si>
  <si>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</si>
  <si>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</si>
  <si>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</si>
  <si>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</si>
  <si>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</si>
  <si>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</si>
  <si>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</si>
  <si>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</si>
  <si>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</si>
  <si>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</si>
  <si>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</si>
  <si>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</si>
  <si>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</si>
  <si>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</si>
  <si>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</si>
  <si>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</si>
  <si>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</si>
  <si>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</si>
  <si>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</si>
  <si>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</si>
  <si>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</si>
  <si>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</si>
  <si>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</si>
  <si>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</si>
  <si>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</si>
  <si>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</si>
  <si>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</si>
  <si>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</si>
  <si>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</si>
  <si>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</si>
  <si>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</si>
  <si>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</si>
  <si>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</si>
  <si>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</si>
  <si>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</si>
  <si>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</si>
  <si>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</si>
  <si>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</si>
  <si>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</si>
  <si>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</si>
  <si>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</si>
  <si>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</si>
  <si>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</si>
  <si>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</si>
  <si>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</si>
  <si>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</si>
  <si>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</si>
  <si>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</si>
  <si>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</si>
  <si>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</si>
  <si>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</si>
  <si>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</si>
  <si>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</si>
  <si>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</si>
  <si>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</si>
  <si>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</si>
  <si>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</si>
  <si>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</si>
  <si>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</si>
  <si>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</si>
  <si>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</si>
  <si>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</si>
  <si>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</si>
  <si>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</si>
  <si>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</si>
  <si>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</si>
  <si>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</si>
  <si>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</si>
  <si>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</si>
  <si>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</si>
  <si>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</si>
  <si>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</si>
  <si>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</si>
  <si>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</si>
  <si>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</si>
  <si>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</si>
  <si>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</si>
  <si>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</si>
  <si>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</si>
  <si>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</si>
  <si>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</si>
  <si>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</si>
  <si>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</si>
  <si>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</si>
  <si>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</si>
  <si>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</si>
  <si>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</si>
  <si>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</si>
  <si>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</si>
  <si>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</si>
  <si>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</si>
  <si>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</si>
  <si>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</si>
  <si>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</si>
  <si>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</si>
  <si>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</si>
  <si>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</si>
  <si>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</si>
  <si>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</si>
  <si>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</si>
  <si>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</si>
  <si>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</si>
  <si>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</si>
  <si>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</si>
  <si>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</si>
  <si>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</si>
  <si>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</si>
  <si>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</si>
  <si>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</si>
  <si>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</si>
  <si>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</si>
  <si>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</si>
  <si>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</si>
  <si>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</si>
  <si>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</si>
  <si>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</si>
  <si>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</si>
  <si>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</si>
  <si>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</si>
  <si>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</si>
  <si>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</si>
  <si>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</si>
  <si>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</si>
  <si>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</si>
  <si>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</si>
  <si>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</si>
  <si>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</si>
  <si>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</si>
  <si>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</si>
  <si>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</si>
  <si>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</si>
  <si>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</si>
  <si>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</si>
  <si>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</si>
  <si>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</si>
  <si>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</si>
  <si>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</si>
  <si>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</si>
  <si>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</si>
  <si>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</si>
  <si>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</si>
  <si>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</si>
  <si>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</si>
  <si>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</si>
  <si>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</si>
  <si>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</si>
  <si>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</si>
  <si>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</si>
  <si>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</si>
  <si>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</si>
  <si>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</si>
  <si>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</si>
  <si>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</si>
  <si>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</si>
  <si>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</si>
  <si>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</si>
  <si>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</si>
  <si>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</si>
  <si>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</si>
  <si>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</si>
  <si>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</si>
  <si>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</si>
  <si>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</si>
  <si>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</si>
  <si>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</si>
  <si>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</si>
  <si>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</si>
  <si>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</si>
  <si>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</si>
  <si>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</si>
  <si>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</si>
  <si>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</si>
  <si>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</si>
  <si>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</si>
  <si>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</si>
  <si>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</si>
  <si>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</si>
  <si>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</si>
  <si>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</si>
  <si>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</si>
  <si>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</si>
  <si>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</si>
  <si>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</si>
  <si>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</si>
  <si>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</si>
  <si>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</si>
  <si>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</si>
  <si>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</si>
  <si>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</si>
  <si>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شاراک 24760 تا 519.8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</si>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</sst>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164" fontId="0" fillId="0" borderId="5" xfId="0" applyNumberFormat="1" applyBorder="1"/>
    <xf numFmtId="0" fontId="0" fillId="0" borderId="5" xfId="0" applyBorder="1" applyAlignment="1">
      <alignment horizontal="center"/>
    </xf>
    <xf numFmtId="164" fontId="0" fillId="0" borderId="2" xfId="0" applyNumberFormat="1" applyFill="1" applyBorder="1"/>
    <xf numFmtId="0" fontId="0" fillId="3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0" fillId="32" borderId="1" xfId="0" applyFill="1" applyBorder="1" applyAlignment="1">
      <alignment horizontal="center" wrapText="1"/>
    </xf>
    <xf numFmtId="164" fontId="0" fillId="28" borderId="1" xfId="0" applyNumberFormat="1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28" workbookViewId="0">
      <selection activeCell="E47" sqref="E4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4821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4786</v>
      </c>
      <c r="B23" s="18">
        <v>0</v>
      </c>
      <c r="C23" s="18">
        <v>0</v>
      </c>
      <c r="D23" s="113">
        <f t="shared" si="0"/>
        <v>0</v>
      </c>
      <c r="E23" s="19" t="s">
        <v>4787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4796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4819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4834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4835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4845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30000</v>
      </c>
      <c r="E46" s="122" t="s">
        <v>4858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1050145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4786</v>
      </c>
      <c r="B313" s="18">
        <v>-297992</v>
      </c>
      <c r="C313" s="18">
        <v>0</v>
      </c>
      <c r="D313" s="18">
        <f t="shared" si="18"/>
        <v>-297992</v>
      </c>
      <c r="E313" s="99" t="s">
        <v>4787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4796</v>
      </c>
      <c r="B315" s="18">
        <v>-40000</v>
      </c>
      <c r="C315" s="18">
        <v>0</v>
      </c>
      <c r="D315" s="18">
        <f t="shared" si="18"/>
        <v>-40000</v>
      </c>
      <c r="E315" s="99" t="s">
        <v>4815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4807</v>
      </c>
      <c r="B75" s="113">
        <v>-20000</v>
      </c>
      <c r="C75" s="99" t="s">
        <v>4816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M7" sqref="M7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4826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3"/>
  <sheetViews>
    <sheetView topLeftCell="J84" zoomScaleNormal="100" workbookViewId="0">
      <selection activeCell="K93" sqref="K9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156</v>
      </c>
      <c r="T20" s="168" t="s">
        <v>4309</v>
      </c>
      <c r="U20" s="168">
        <v>192.1</v>
      </c>
      <c r="V20" s="168">
        <f t="shared" ref="V20:V46" si="6">U20*(1+$N$86+$Q$15*S20/36500)</f>
        <v>217.24036383561648</v>
      </c>
      <c r="W20" s="32">
        <f t="shared" ref="W20:W33" si="7">V20*(1+$W$19/100)</f>
        <v>221.58517111232882</v>
      </c>
      <c r="X20" s="32">
        <f t="shared" ref="X20:X33" si="8">V20*(1+$X$19/100)</f>
        <v>225.92997838904114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375299957.01803821</v>
      </c>
      <c r="M21" s="168" t="s">
        <v>4301</v>
      </c>
      <c r="N21" s="113">
        <f t="shared" ref="N21:N25" si="9">O21*P21</f>
        <v>15084507</v>
      </c>
      <c r="O21" s="99">
        <v>82429</v>
      </c>
      <c r="P21" s="187">
        <f>P54</f>
        <v>183</v>
      </c>
      <c r="Q21" s="169">
        <v>595156</v>
      </c>
      <c r="R21" s="168" t="s">
        <v>4395</v>
      </c>
      <c r="S21" s="194">
        <f>S20-52</f>
        <v>104</v>
      </c>
      <c r="T21" s="168" t="s">
        <v>4398</v>
      </c>
      <c r="U21" s="168">
        <v>5808.5</v>
      </c>
      <c r="V21" s="168">
        <f t="shared" si="6"/>
        <v>6336.9621041095897</v>
      </c>
      <c r="W21" s="32">
        <f t="shared" si="7"/>
        <v>6463.7013461917813</v>
      </c>
      <c r="X21" s="32">
        <f t="shared" si="8"/>
        <v>6590.4405882739738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64058051.5</v>
      </c>
      <c r="O22" s="99">
        <v>19265</v>
      </c>
      <c r="P22" s="187">
        <f>P44</f>
        <v>3325.1</v>
      </c>
      <c r="Q22" s="169">
        <v>1484689</v>
      </c>
      <c r="R22" s="168" t="s">
        <v>4433</v>
      </c>
      <c r="S22" s="168">
        <f>S21-7</f>
        <v>97</v>
      </c>
      <c r="T22" s="19" t="s">
        <v>4436</v>
      </c>
      <c r="U22" s="168">
        <v>5474</v>
      </c>
      <c r="V22" s="168">
        <f t="shared" si="6"/>
        <v>5942.6343890410963</v>
      </c>
      <c r="W22" s="32">
        <f t="shared" si="7"/>
        <v>6061.487076821918</v>
      </c>
      <c r="X22" s="32">
        <f t="shared" si="8"/>
        <v>6180.3397646027406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74419094.400000006</v>
      </c>
      <c r="O23" s="99">
        <v>144447</v>
      </c>
      <c r="P23" s="187">
        <f>P48</f>
        <v>515.20000000000005</v>
      </c>
      <c r="Q23" s="169">
        <v>2197673</v>
      </c>
      <c r="R23" s="168" t="s">
        <v>4433</v>
      </c>
      <c r="S23" s="168">
        <f>S22</f>
        <v>97</v>
      </c>
      <c r="T23" s="19" t="s">
        <v>4437</v>
      </c>
      <c r="U23" s="168">
        <v>5349</v>
      </c>
      <c r="V23" s="168">
        <f t="shared" si="6"/>
        <v>5806.9330191780828</v>
      </c>
      <c r="W23" s="32">
        <f>V23*(1+$W$19/100)</f>
        <v>5923.0716795616445</v>
      </c>
      <c r="X23" s="32">
        <f t="shared" si="8"/>
        <v>6039.2103399452062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375209928.01803821</v>
      </c>
      <c r="G24" s="95">
        <f t="shared" si="0"/>
        <v>-94903582.636099577</v>
      </c>
      <c r="H24" s="11"/>
      <c r="I24" s="96"/>
      <c r="J24" s="96"/>
      <c r="K24" s="219"/>
      <c r="L24" s="117"/>
      <c r="M24" s="219" t="s">
        <v>4546</v>
      </c>
      <c r="N24" s="113">
        <f t="shared" si="9"/>
        <v>81635914.800000012</v>
      </c>
      <c r="O24" s="99">
        <v>19918</v>
      </c>
      <c r="P24" s="187">
        <f>P49</f>
        <v>4098.6000000000004</v>
      </c>
      <c r="Q24" s="169">
        <v>1353959</v>
      </c>
      <c r="R24" s="168" t="s">
        <v>4433</v>
      </c>
      <c r="S24" s="200">
        <f>S23</f>
        <v>97</v>
      </c>
      <c r="T24" s="19" t="s">
        <v>4479</v>
      </c>
      <c r="U24" s="168">
        <v>192.2</v>
      </c>
      <c r="V24" s="168">
        <f t="shared" si="6"/>
        <v>208.65442630136985</v>
      </c>
      <c r="W24" s="32">
        <f t="shared" si="7"/>
        <v>212.82751482739727</v>
      </c>
      <c r="X24" s="32">
        <f t="shared" si="8"/>
        <v>217.00060335342465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9553676.4000000004</v>
      </c>
      <c r="O25" s="99">
        <v>1828</v>
      </c>
      <c r="P25" s="99">
        <f>P47</f>
        <v>5226.3</v>
      </c>
      <c r="Q25" s="169">
        <v>1614398</v>
      </c>
      <c r="R25" s="168" t="s">
        <v>4441</v>
      </c>
      <c r="S25" s="168">
        <f>S24-3</f>
        <v>94</v>
      </c>
      <c r="T25" s="19" t="s">
        <v>4516</v>
      </c>
      <c r="U25" s="168">
        <v>184.6</v>
      </c>
      <c r="V25" s="168">
        <f t="shared" si="6"/>
        <v>199.9789501369863</v>
      </c>
      <c r="W25" s="32">
        <f t="shared" si="7"/>
        <v>203.97852913972602</v>
      </c>
      <c r="X25" s="32">
        <f t="shared" si="8"/>
        <v>207.97810814246577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72</v>
      </c>
      <c r="T26" s="168" t="s">
        <v>4524</v>
      </c>
      <c r="U26" s="168">
        <v>166.2</v>
      </c>
      <c r="V26" s="168">
        <f t="shared" si="6"/>
        <v>177.24114410958904</v>
      </c>
      <c r="W26" s="32">
        <f t="shared" si="7"/>
        <v>180.78596699178084</v>
      </c>
      <c r="X26" s="32">
        <f t="shared" si="8"/>
        <v>184.33078987397261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71</v>
      </c>
      <c r="T27" s="168" t="s">
        <v>4530</v>
      </c>
      <c r="U27" s="168">
        <v>166</v>
      </c>
      <c r="V27" s="168">
        <f t="shared" si="6"/>
        <v>176.90051506849318</v>
      </c>
      <c r="W27" s="32">
        <f t="shared" si="7"/>
        <v>180.43852536986304</v>
      </c>
      <c r="X27" s="32">
        <f t="shared" si="8"/>
        <v>183.97653567123291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245636.1</v>
      </c>
      <c r="O28" s="69">
        <v>47</v>
      </c>
      <c r="P28" s="99">
        <f>P47</f>
        <v>5226.3</v>
      </c>
      <c r="Q28" s="169">
        <v>1023940</v>
      </c>
      <c r="R28" s="168" t="s">
        <v>4531</v>
      </c>
      <c r="S28" s="199">
        <f>S27-2</f>
        <v>69</v>
      </c>
      <c r="T28" s="168" t="s">
        <v>4537</v>
      </c>
      <c r="U28" s="168">
        <v>160.19999999999999</v>
      </c>
      <c r="V28" s="168">
        <f t="shared" si="6"/>
        <v>170.47386739726028</v>
      </c>
      <c r="W28" s="32">
        <f t="shared" si="7"/>
        <v>173.88334474520548</v>
      </c>
      <c r="X28" s="32">
        <f t="shared" si="8"/>
        <v>177.2928220931507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355785.7</v>
      </c>
      <c r="O29" s="69">
        <v>107</v>
      </c>
      <c r="P29" s="99">
        <f>P44</f>
        <v>3325.1</v>
      </c>
      <c r="Q29" s="169">
        <v>168846</v>
      </c>
      <c r="R29" s="168" t="s">
        <v>3691</v>
      </c>
      <c r="S29" s="199">
        <f>S28-28</f>
        <v>41</v>
      </c>
      <c r="T29" s="168" t="s">
        <v>4636</v>
      </c>
      <c r="U29" s="168">
        <v>172.2</v>
      </c>
      <c r="V29" s="168">
        <f t="shared" si="6"/>
        <v>179.54468383561644</v>
      </c>
      <c r="W29" s="32">
        <f t="shared" si="7"/>
        <v>183.13557751232878</v>
      </c>
      <c r="X29" s="32">
        <f t="shared" si="8"/>
        <v>186.72647118904109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359609.60000000003</v>
      </c>
      <c r="O30" s="69">
        <v>698</v>
      </c>
      <c r="P30" s="99">
        <f>P48</f>
        <v>515.20000000000005</v>
      </c>
      <c r="Q30" s="169">
        <v>250962</v>
      </c>
      <c r="R30" s="168" t="s">
        <v>4682</v>
      </c>
      <c r="S30" s="199">
        <f>S29-10</f>
        <v>31</v>
      </c>
      <c r="T30" s="168" t="s">
        <v>4683</v>
      </c>
      <c r="U30" s="168">
        <v>5315.5</v>
      </c>
      <c r="V30" s="168">
        <f t="shared" si="6"/>
        <v>5501.4405589041098</v>
      </c>
      <c r="W30" s="32">
        <f t="shared" si="7"/>
        <v>5611.4693700821917</v>
      </c>
      <c r="X30" s="32">
        <f t="shared" si="8"/>
        <v>5721.4981812602746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3172305</v>
      </c>
      <c r="O31" s="69">
        <v>17335</v>
      </c>
      <c r="P31" s="99">
        <f>P54</f>
        <v>183</v>
      </c>
      <c r="Q31" s="169">
        <v>350718</v>
      </c>
      <c r="R31" s="219" t="s">
        <v>4739</v>
      </c>
      <c r="S31" s="199">
        <f>S30-7</f>
        <v>24</v>
      </c>
      <c r="T31" s="219" t="s">
        <v>4740</v>
      </c>
      <c r="U31" s="219">
        <v>502.3</v>
      </c>
      <c r="V31" s="219">
        <f t="shared" si="6"/>
        <v>517.17358465753421</v>
      </c>
      <c r="W31" s="32">
        <f t="shared" si="7"/>
        <v>527.51705635068492</v>
      </c>
      <c r="X31" s="32">
        <f t="shared" si="8"/>
        <v>537.86052804383564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9</v>
      </c>
      <c r="T32" s="219" t="s">
        <v>4795</v>
      </c>
      <c r="U32" s="219">
        <v>486.4</v>
      </c>
      <c r="V32" s="219">
        <f t="shared" si="6"/>
        <v>495.20583890410967</v>
      </c>
      <c r="W32" s="32">
        <f t="shared" si="7"/>
        <v>505.10995568219187</v>
      </c>
      <c r="X32" s="32">
        <f t="shared" si="8"/>
        <v>515.01407246027406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4796</v>
      </c>
      <c r="S33" s="199">
        <f>S32-1</f>
        <v>8</v>
      </c>
      <c r="T33" s="219" t="s">
        <v>4797</v>
      </c>
      <c r="U33" s="219">
        <v>476.1</v>
      </c>
      <c r="V33" s="219">
        <f t="shared" si="6"/>
        <v>484.35413917808222</v>
      </c>
      <c r="W33" s="32">
        <f t="shared" si="7"/>
        <v>494.04122196164388</v>
      </c>
      <c r="X33" s="32">
        <f t="shared" si="8"/>
        <v>503.72830474520555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-S149</f>
        <v>-375299957.01803821</v>
      </c>
      <c r="O34" s="96" t="s">
        <v>25</v>
      </c>
      <c r="P34" s="96" t="s">
        <v>25</v>
      </c>
      <c r="Q34" s="169">
        <v>10881161</v>
      </c>
      <c r="R34" s="219" t="s">
        <v>4796</v>
      </c>
      <c r="S34" s="199">
        <f>S33</f>
        <v>8</v>
      </c>
      <c r="T34" s="219" t="s">
        <v>4798</v>
      </c>
      <c r="U34" s="219">
        <v>3095</v>
      </c>
      <c r="V34" s="219">
        <f t="shared" si="6"/>
        <v>3148.6579726027398</v>
      </c>
      <c r="W34" s="32">
        <f t="shared" ref="W34:W46" si="13">V34*(1+$W$19/100)</f>
        <v>3211.6311320547948</v>
      </c>
      <c r="X34" s="32">
        <f t="shared" ref="X34:X46" si="14">V34*(1+$X$19/100)</f>
        <v>3274.6042915068497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4796</v>
      </c>
      <c r="S35" s="199">
        <f>S34</f>
        <v>8</v>
      </c>
      <c r="T35" s="219" t="s">
        <v>4799</v>
      </c>
      <c r="U35" s="219">
        <v>168.8</v>
      </c>
      <c r="V35" s="219">
        <f t="shared" si="6"/>
        <v>171.72648328767124</v>
      </c>
      <c r="W35" s="32">
        <f t="shared" si="13"/>
        <v>175.16101295342466</v>
      </c>
      <c r="X35" s="32">
        <f t="shared" si="14"/>
        <v>178.5955426191781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فیزیکی'!M48*10*P55</f>
        <v>42930000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4796</v>
      </c>
      <c r="S36" s="199">
        <f>S35</f>
        <v>8</v>
      </c>
      <c r="T36" s="219" t="s">
        <v>4800</v>
      </c>
      <c r="U36" s="219">
        <v>3859.8</v>
      </c>
      <c r="V36" s="219">
        <f t="shared" si="6"/>
        <v>3926.7172997260277</v>
      </c>
      <c r="W36" s="32">
        <f t="shared" si="13"/>
        <v>4005.2516457205484</v>
      </c>
      <c r="X36" s="32">
        <f t="shared" si="14"/>
        <v>4083.785991715069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4807</v>
      </c>
      <c r="S37" s="199">
        <f>S36-1</f>
        <v>7</v>
      </c>
      <c r="T37" s="219" t="s">
        <v>4811</v>
      </c>
      <c r="U37" s="219">
        <v>3099.2</v>
      </c>
      <c r="V37" s="219">
        <f t="shared" si="6"/>
        <v>3150.5533194520549</v>
      </c>
      <c r="W37" s="32">
        <f t="shared" si="13"/>
        <v>3213.5643858410958</v>
      </c>
      <c r="X37" s="32">
        <f t="shared" si="14"/>
        <v>3276.5754522301372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فیزیکی'!M47+3)*10*P55</f>
        <v>33390000</v>
      </c>
      <c r="O38" s="96"/>
      <c r="P38" s="96" t="s">
        <v>25</v>
      </c>
      <c r="Q38" s="169">
        <v>13402013</v>
      </c>
      <c r="R38" s="219" t="s">
        <v>4807</v>
      </c>
      <c r="S38" s="199">
        <f>S37</f>
        <v>7</v>
      </c>
      <c r="T38" s="219" t="s">
        <v>4812</v>
      </c>
      <c r="U38" s="219">
        <v>3853.3</v>
      </c>
      <c r="V38" s="219">
        <f t="shared" si="6"/>
        <v>3917.1486531506857</v>
      </c>
      <c r="W38" s="32">
        <f t="shared" si="13"/>
        <v>3995.4916262136994</v>
      </c>
      <c r="X38" s="32">
        <f t="shared" si="14"/>
        <v>4073.8345992767131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4817</v>
      </c>
      <c r="S39" s="199">
        <f>S38-1</f>
        <v>6</v>
      </c>
      <c r="T39" s="219" t="s">
        <v>4818</v>
      </c>
      <c r="U39" s="219">
        <v>3130</v>
      </c>
      <c r="V39" s="219">
        <f t="shared" si="6"/>
        <v>3179.4625753424657</v>
      </c>
      <c r="W39" s="32">
        <f t="shared" si="13"/>
        <v>3243.0518268493151</v>
      </c>
      <c r="X39" s="32">
        <f t="shared" si="14"/>
        <v>3306.6410783561646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>
        <v>3377001</v>
      </c>
      <c r="R40" s="219" t="s">
        <v>4827</v>
      </c>
      <c r="S40" s="199">
        <f>S39-4</f>
        <v>2</v>
      </c>
      <c r="T40" s="219" t="s">
        <v>4833</v>
      </c>
      <c r="U40" s="219">
        <v>3324.8</v>
      </c>
      <c r="V40" s="219">
        <f t="shared" si="6"/>
        <v>3367.1388230136995</v>
      </c>
      <c r="W40" s="32">
        <f t="shared" si="13"/>
        <v>3434.4815994739733</v>
      </c>
      <c r="X40" s="32">
        <f t="shared" si="14"/>
        <v>3501.8243759342477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4827</v>
      </c>
      <c r="S41" s="199">
        <f>S40</f>
        <v>2</v>
      </c>
      <c r="T41" s="219" t="s">
        <v>4831</v>
      </c>
      <c r="U41" s="219">
        <v>4176.3</v>
      </c>
      <c r="V41" s="219">
        <f t="shared" si="6"/>
        <v>4229.4820339726039</v>
      </c>
      <c r="W41" s="32">
        <f t="shared" si="13"/>
        <v>4314.0716746520557</v>
      </c>
      <c r="X41" s="32">
        <f t="shared" si="14"/>
        <v>4398.6613153315084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977</v>
      </c>
      <c r="P42" t="s">
        <v>25</v>
      </c>
      <c r="Q42" s="169">
        <v>15499033</v>
      </c>
      <c r="R42" s="219" t="s">
        <v>4827</v>
      </c>
      <c r="S42" s="199">
        <f>S41</f>
        <v>2</v>
      </c>
      <c r="T42" s="219" t="s">
        <v>4832</v>
      </c>
      <c r="U42" s="219">
        <v>525.1</v>
      </c>
      <c r="V42" s="219">
        <f t="shared" si="6"/>
        <v>531.7867528767124</v>
      </c>
      <c r="W42" s="32">
        <f t="shared" si="13"/>
        <v>542.42248793424665</v>
      </c>
      <c r="X42" s="32">
        <f t="shared" si="14"/>
        <v>553.05822299178089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Q43" s="169">
        <v>30673673</v>
      </c>
      <c r="R43" s="219" t="s">
        <v>4837</v>
      </c>
      <c r="S43" s="199">
        <f>S42-1</f>
        <v>1</v>
      </c>
      <c r="T43" s="219" t="s">
        <v>4842</v>
      </c>
      <c r="U43" s="219">
        <v>529.79999999999995</v>
      </c>
      <c r="V43" s="219">
        <f t="shared" si="6"/>
        <v>536.14018191780815</v>
      </c>
      <c r="W43" s="32">
        <f t="shared" si="13"/>
        <v>546.86298555616429</v>
      </c>
      <c r="X43" s="32">
        <f t="shared" si="14"/>
        <v>557.58578919452054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89112680</v>
      </c>
      <c r="O44" s="99">
        <v>26800</v>
      </c>
      <c r="P44" s="99">
        <v>3325.1</v>
      </c>
      <c r="Q44" s="169">
        <v>5420397</v>
      </c>
      <c r="R44" s="219" t="s">
        <v>4837</v>
      </c>
      <c r="S44" s="199">
        <f>S43</f>
        <v>1</v>
      </c>
      <c r="T44" s="219" t="s">
        <v>4843</v>
      </c>
      <c r="U44" s="219">
        <v>5395.9</v>
      </c>
      <c r="V44" s="219">
        <f t="shared" si="6"/>
        <v>5460.4734005479449</v>
      </c>
      <c r="W44" s="32">
        <f t="shared" si="13"/>
        <v>5569.6828685589044</v>
      </c>
      <c r="X44" s="32">
        <f t="shared" si="14"/>
        <v>5678.8923365698629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724600</v>
      </c>
      <c r="O45" s="69">
        <v>2000</v>
      </c>
      <c r="P45" s="69">
        <v>362.3</v>
      </c>
      <c r="Q45" s="169">
        <v>38533873</v>
      </c>
      <c r="R45" s="219" t="s">
        <v>4837</v>
      </c>
      <c r="S45" s="199">
        <f>S44</f>
        <v>1</v>
      </c>
      <c r="T45" s="219" t="s">
        <v>4844</v>
      </c>
      <c r="U45" s="219">
        <v>3355.8</v>
      </c>
      <c r="V45" s="219">
        <f t="shared" si="6"/>
        <v>3395.9592723287674</v>
      </c>
      <c r="W45" s="32">
        <f t="shared" si="13"/>
        <v>3463.8784577753427</v>
      </c>
      <c r="X45" s="32">
        <f t="shared" si="14"/>
        <v>3531.7976432219184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1132700</v>
      </c>
      <c r="O46" s="69">
        <v>1000</v>
      </c>
      <c r="P46" s="69">
        <v>1132.7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134749692.90000001</v>
      </c>
      <c r="O47" s="69">
        <v>25783</v>
      </c>
      <c r="P47" s="69">
        <v>5226.3</v>
      </c>
      <c r="Q47" s="169">
        <f>SUM(N21:N25)-SUM(Q20:Q46)</f>
        <v>240091.10000002384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70095536</v>
      </c>
      <c r="O48" s="69">
        <v>136055</v>
      </c>
      <c r="P48" s="69">
        <v>515.20000000000005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4438783.8000000007</v>
      </c>
      <c r="O49" s="69">
        <v>1083</v>
      </c>
      <c r="P49" s="69">
        <v>4098.6000000000004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14271660.9</v>
      </c>
      <c r="O50" s="69">
        <v>2913</v>
      </c>
      <c r="P50" s="69">
        <v>4899.3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3499110</v>
      </c>
      <c r="O51" s="69">
        <v>5100</v>
      </c>
      <c r="P51" s="69">
        <v>686.1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4365</v>
      </c>
      <c r="V51" s="73" t="s">
        <v>4367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215135.2</v>
      </c>
      <c r="O52" s="69">
        <v>1148</v>
      </c>
      <c r="P52" s="69">
        <v>187.4</v>
      </c>
      <c r="Q52" s="168">
        <v>0</v>
      </c>
      <c r="R52" s="168" t="s">
        <v>4172</v>
      </c>
      <c r="S52" s="168">
        <f>S70</f>
        <v>156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1170950</v>
      </c>
      <c r="O53" s="69">
        <v>5500</v>
      </c>
      <c r="P53" s="69">
        <v>212.9</v>
      </c>
      <c r="Q53" s="169">
        <v>863944</v>
      </c>
      <c r="R53" s="168" t="s">
        <v>4441</v>
      </c>
      <c r="S53" s="168">
        <f>S52-62</f>
        <v>94</v>
      </c>
      <c r="T53" s="192" t="s">
        <v>4517</v>
      </c>
      <c r="U53" s="168">
        <v>184.6</v>
      </c>
      <c r="V53" s="168">
        <f t="shared" ref="V53:V61" si="16">U53*(1+$N$86+$Q$15*S53/36500)</f>
        <v>199.9789501369863</v>
      </c>
      <c r="W53" s="32">
        <f t="shared" ref="W53:W61" si="17">V53*(1+$W$19/100)</f>
        <v>203.97852913972602</v>
      </c>
      <c r="X53" s="32">
        <f t="shared" ref="X53:X61" si="18">V53*(1+$X$19/100)</f>
        <v>207.97810814246577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231776271</v>
      </c>
      <c r="O54" s="99">
        <v>1266537</v>
      </c>
      <c r="P54" s="99">
        <v>183</v>
      </c>
      <c r="Q54" s="169">
        <v>1692313</v>
      </c>
      <c r="R54" s="168" t="s">
        <v>4520</v>
      </c>
      <c r="S54" s="199">
        <f>S53-21</f>
        <v>73</v>
      </c>
      <c r="T54" s="191" t="s">
        <v>4521</v>
      </c>
      <c r="U54" s="168">
        <v>168.5</v>
      </c>
      <c r="V54" s="168">
        <f t="shared" si="16"/>
        <v>179.82320000000001</v>
      </c>
      <c r="W54" s="32">
        <f t="shared" si="17"/>
        <v>183.41966400000001</v>
      </c>
      <c r="X54" s="32">
        <f t="shared" si="18"/>
        <v>187.01612800000001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14310000</v>
      </c>
      <c r="O55" s="69">
        <v>30</v>
      </c>
      <c r="P55" s="69">
        <v>477000</v>
      </c>
      <c r="Q55" s="169">
        <v>101153</v>
      </c>
      <c r="R55" s="168" t="s">
        <v>4523</v>
      </c>
      <c r="S55" s="199">
        <f>S54-1</f>
        <v>72</v>
      </c>
      <c r="T55" s="191" t="s">
        <v>4525</v>
      </c>
      <c r="U55" s="168">
        <v>166.7</v>
      </c>
      <c r="V55" s="168">
        <f t="shared" si="16"/>
        <v>177.77436054794521</v>
      </c>
      <c r="W55" s="32">
        <f t="shared" si="17"/>
        <v>181.32984775890412</v>
      </c>
      <c r="X55" s="32">
        <f t="shared" si="18"/>
        <v>184.88533496986301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>
        <v>183105</v>
      </c>
      <c r="R56" s="168" t="s">
        <v>4231</v>
      </c>
      <c r="S56" s="199">
        <f>S55-1</f>
        <v>71</v>
      </c>
      <c r="T56" s="191" t="s">
        <v>4529</v>
      </c>
      <c r="U56" s="168">
        <v>166.6</v>
      </c>
      <c r="V56" s="168">
        <f t="shared" si="16"/>
        <v>177.53991452054797</v>
      </c>
      <c r="W56" s="32">
        <f t="shared" si="17"/>
        <v>181.09071281095893</v>
      </c>
      <c r="X56" s="32">
        <f t="shared" si="18"/>
        <v>184.6415111013699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69">
        <v>168846</v>
      </c>
      <c r="R57" s="168" t="s">
        <v>3691</v>
      </c>
      <c r="S57" s="199">
        <f>S56-30</f>
        <v>41</v>
      </c>
      <c r="T57" s="191" t="s">
        <v>4636</v>
      </c>
      <c r="U57" s="168">
        <v>172.2</v>
      </c>
      <c r="V57" s="168">
        <f t="shared" si="16"/>
        <v>179.54468383561644</v>
      </c>
      <c r="W57" s="32">
        <f t="shared" si="17"/>
        <v>183.13557751232878</v>
      </c>
      <c r="X57" s="32">
        <f t="shared" si="18"/>
        <v>186.72647118904109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Q58" s="169">
        <v>250962</v>
      </c>
      <c r="R58" s="168" t="s">
        <v>4682</v>
      </c>
      <c r="S58" s="199">
        <f>S57-10</f>
        <v>31</v>
      </c>
      <c r="T58" s="191" t="s">
        <v>4683</v>
      </c>
      <c r="U58" s="168">
        <v>5315.5</v>
      </c>
      <c r="V58" s="168">
        <f t="shared" si="16"/>
        <v>5501.4405589041098</v>
      </c>
      <c r="W58" s="32">
        <f t="shared" si="17"/>
        <v>5611.4693700821917</v>
      </c>
      <c r="X58" s="32">
        <f t="shared" si="18"/>
        <v>5721.4981812602746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169">
        <v>352231</v>
      </c>
      <c r="R59" s="219" t="s">
        <v>4739</v>
      </c>
      <c r="S59" s="199">
        <f>S58-7</f>
        <v>24</v>
      </c>
      <c r="T59" s="191" t="s">
        <v>4741</v>
      </c>
      <c r="U59" s="219">
        <v>502.3</v>
      </c>
      <c r="V59" s="219">
        <f t="shared" si="16"/>
        <v>517.17358465753421</v>
      </c>
      <c r="W59" s="32">
        <f t="shared" si="17"/>
        <v>527.51705635068492</v>
      </c>
      <c r="X59" s="32">
        <f t="shared" si="18"/>
        <v>537.86052804383564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-15147459</v>
      </c>
      <c r="O60" s="99">
        <v>82773</v>
      </c>
      <c r="P60" s="99">
        <f>P54</f>
        <v>183</v>
      </c>
      <c r="Q60" s="169">
        <v>165067</v>
      </c>
      <c r="R60" s="219" t="s">
        <v>4796</v>
      </c>
      <c r="S60" s="199">
        <f>S59-16</f>
        <v>8</v>
      </c>
      <c r="T60" s="191" t="s">
        <v>4805</v>
      </c>
      <c r="U60" s="219">
        <v>3095.9</v>
      </c>
      <c r="V60" s="219">
        <f t="shared" si="16"/>
        <v>3149.5735758904111</v>
      </c>
      <c r="W60" s="32">
        <f t="shared" si="17"/>
        <v>3212.5650474082195</v>
      </c>
      <c r="X60" s="32">
        <f t="shared" si="18"/>
        <v>3275.5565189260278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355715.40000000037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 t="s">
        <v>4449</v>
      </c>
      <c r="N63" s="113">
        <f>-S150</f>
        <v>-14706475.885276752</v>
      </c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23850000</v>
      </c>
      <c r="P64" t="s">
        <v>25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/>
      <c r="N65" s="113"/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 t="s">
        <v>598</v>
      </c>
      <c r="L66" s="113">
        <f>SUM(L16:L51)</f>
        <v>375209928.01803821</v>
      </c>
      <c r="M66" s="168"/>
      <c r="N66" s="113">
        <f>SUM(N16:N65)</f>
        <v>407565317.39668506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56" t="s">
        <v>716</v>
      </c>
      <c r="L68" s="1">
        <f>L66+N7</f>
        <v>445209928.01803821</v>
      </c>
      <c r="M68" s="113"/>
      <c r="N68" s="168"/>
      <c r="O68" s="115"/>
      <c r="P68" s="115"/>
      <c r="Q68" s="73" t="s">
        <v>4295</v>
      </c>
      <c r="R68" s="112"/>
      <c r="S68" s="112"/>
      <c r="T68" s="112"/>
      <c r="U68" s="168" t="s">
        <v>4365</v>
      </c>
      <c r="V68" s="36" t="s">
        <v>4367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O69" s="96"/>
      <c r="P69" s="96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M70" s="25"/>
      <c r="O70" t="s">
        <v>25</v>
      </c>
      <c r="Q70" s="35">
        <v>184971545</v>
      </c>
      <c r="R70" s="5" t="s">
        <v>4172</v>
      </c>
      <c r="S70" s="5">
        <v>156</v>
      </c>
      <c r="T70" s="5" t="s">
        <v>4348</v>
      </c>
      <c r="U70" s="168">
        <v>192</v>
      </c>
      <c r="V70" s="99">
        <f t="shared" ref="V70:V101" si="20">U70*(1+$N$86+$Q$15*S70/36500)</f>
        <v>217.12727671232881</v>
      </c>
      <c r="W70" s="32">
        <f t="shared" ref="W70:W92" si="21">V70*(1+$W$19/100)</f>
        <v>221.46982224657538</v>
      </c>
      <c r="X70" s="32">
        <f t="shared" ref="X70:X92" si="22">V70*(1+$X$19/100)</f>
        <v>225.81236778082197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9560464</v>
      </c>
      <c r="R71" s="5" t="s">
        <v>4299</v>
      </c>
      <c r="S71" s="5">
        <f>S70-31</f>
        <v>125</v>
      </c>
      <c r="T71" s="5" t="s">
        <v>4312</v>
      </c>
      <c r="U71" s="168">
        <v>214.57</v>
      </c>
      <c r="V71" s="99">
        <f t="shared" si="20"/>
        <v>237.54838947945206</v>
      </c>
      <c r="W71" s="32">
        <f t="shared" si="21"/>
        <v>242.29935726904111</v>
      </c>
      <c r="X71" s="32">
        <f t="shared" si="22"/>
        <v>247.05032505863014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177"/>
      <c r="O72" s="115"/>
      <c r="P72" s="115"/>
      <c r="Q72" s="35">
        <v>2000000</v>
      </c>
      <c r="R72" s="5" t="s">
        <v>4343</v>
      </c>
      <c r="S72" s="5">
        <f>S71-11</f>
        <v>114</v>
      </c>
      <c r="T72" s="5" t="s">
        <v>4347</v>
      </c>
      <c r="U72" s="168">
        <v>206.8</v>
      </c>
      <c r="V72" s="99">
        <f t="shared" si="20"/>
        <v>227.20124493150689</v>
      </c>
      <c r="W72" s="32">
        <f t="shared" si="21"/>
        <v>231.74526983013703</v>
      </c>
      <c r="X72" s="32">
        <f t="shared" si="22"/>
        <v>236.28929472876717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96" t="s">
        <v>4791</v>
      </c>
      <c r="Q73" s="35">
        <v>1429825</v>
      </c>
      <c r="R73" s="5" t="s">
        <v>4374</v>
      </c>
      <c r="S73" s="5">
        <f>S72-7</f>
        <v>107</v>
      </c>
      <c r="T73" s="5" t="s">
        <v>4383</v>
      </c>
      <c r="U73" s="168">
        <v>203.9</v>
      </c>
      <c r="V73" s="99">
        <f t="shared" si="20"/>
        <v>222.9202389041096</v>
      </c>
      <c r="W73" s="32">
        <f t="shared" si="21"/>
        <v>227.37864368219178</v>
      </c>
      <c r="X73" s="32">
        <f t="shared" si="22"/>
        <v>231.83704846027399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122" t="s">
        <v>4413</v>
      </c>
      <c r="O74" s="114"/>
      <c r="Q74" s="35">
        <v>1420747</v>
      </c>
      <c r="R74" s="5" t="s">
        <v>4374</v>
      </c>
      <c r="S74" s="5">
        <f>S73</f>
        <v>107</v>
      </c>
      <c r="T74" s="5" t="s">
        <v>4385</v>
      </c>
      <c r="U74" s="168">
        <v>203.1</v>
      </c>
      <c r="V74" s="99">
        <f t="shared" si="20"/>
        <v>222.04561315068494</v>
      </c>
      <c r="W74" s="32">
        <f t="shared" si="21"/>
        <v>226.48652541369864</v>
      </c>
      <c r="X74" s="32">
        <f t="shared" si="22"/>
        <v>230.92743767671234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4514</v>
      </c>
      <c r="N75" s="96"/>
      <c r="Q75" s="35">
        <v>2412371</v>
      </c>
      <c r="R75" s="5" t="s">
        <v>4376</v>
      </c>
      <c r="S75" s="5">
        <f>S74-1</f>
        <v>106</v>
      </c>
      <c r="T75" s="5" t="s">
        <v>4392</v>
      </c>
      <c r="U75" s="168">
        <v>3930</v>
      </c>
      <c r="V75" s="99">
        <f t="shared" si="20"/>
        <v>4293.584219178083</v>
      </c>
      <c r="W75" s="32">
        <f t="shared" si="21"/>
        <v>4379.4559035616448</v>
      </c>
      <c r="X75" s="32">
        <f t="shared" si="22"/>
        <v>4465.3275879452067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2010885</v>
      </c>
      <c r="R76" s="5" t="s">
        <v>4395</v>
      </c>
      <c r="S76" s="5">
        <f>S75-2</f>
        <v>104</v>
      </c>
      <c r="T76" s="5" t="s">
        <v>4401</v>
      </c>
      <c r="U76" s="168">
        <v>202.1</v>
      </c>
      <c r="V76" s="99">
        <f t="shared" si="20"/>
        <v>220.48722410958905</v>
      </c>
      <c r="W76" s="32">
        <f t="shared" si="21"/>
        <v>224.89696859178085</v>
      </c>
      <c r="X76" s="32">
        <f t="shared" si="22"/>
        <v>229.30671307397262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 ht="45">
      <c r="D77" s="1" t="s">
        <v>305</v>
      </c>
      <c r="E77" s="1">
        <v>70000</v>
      </c>
      <c r="K77" s="218" t="s">
        <v>4822</v>
      </c>
      <c r="L77" s="22" t="s">
        <v>4785</v>
      </c>
      <c r="M77" s="211" t="s">
        <v>4754</v>
      </c>
      <c r="N77" s="96"/>
      <c r="P77" s="115"/>
      <c r="Q77" s="35">
        <v>1994038</v>
      </c>
      <c r="R77" s="5" t="s">
        <v>4406</v>
      </c>
      <c r="S77" s="5">
        <f>S76-3</f>
        <v>101</v>
      </c>
      <c r="T77" s="5" t="s">
        <v>4423</v>
      </c>
      <c r="U77" s="168">
        <v>5560.3</v>
      </c>
      <c r="V77" s="99">
        <f t="shared" si="20"/>
        <v>6053.3843572602746</v>
      </c>
      <c r="W77" s="32">
        <f t="shared" si="21"/>
        <v>6174.4520444054806</v>
      </c>
      <c r="X77" s="32">
        <f t="shared" si="22"/>
        <v>6295.5197315506857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>
      <c r="D78" s="1" t="s">
        <v>321</v>
      </c>
      <c r="E78" s="1">
        <v>100000</v>
      </c>
      <c r="K78" t="s">
        <v>4823</v>
      </c>
      <c r="M78" s="122"/>
      <c r="N78" s="96"/>
      <c r="P78" s="115" t="s">
        <v>25</v>
      </c>
      <c r="Q78" s="35">
        <v>444</v>
      </c>
      <c r="R78" s="5" t="s">
        <v>4406</v>
      </c>
      <c r="S78" s="5">
        <f>S77</f>
        <v>101</v>
      </c>
      <c r="T78" s="5" t="s">
        <v>4625</v>
      </c>
      <c r="U78" s="168">
        <v>441.8</v>
      </c>
      <c r="V78" s="99">
        <f t="shared" si="20"/>
        <v>480.9785819178083</v>
      </c>
      <c r="W78" s="32">
        <f t="shared" si="21"/>
        <v>490.59815355616445</v>
      </c>
      <c r="X78" s="32">
        <f t="shared" si="22"/>
        <v>500.21772519452065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4592</v>
      </c>
      <c r="L79" s="96"/>
      <c r="M79" s="122" t="s">
        <v>4590</v>
      </c>
      <c r="O79" t="s">
        <v>25</v>
      </c>
      <c r="P79" s="115"/>
      <c r="Q79" s="35">
        <v>1971103</v>
      </c>
      <c r="R79" s="5" t="s">
        <v>4418</v>
      </c>
      <c r="S79" s="5">
        <f>S78-1</f>
        <v>100</v>
      </c>
      <c r="T79" s="5" t="s">
        <v>4419</v>
      </c>
      <c r="U79" s="168">
        <v>196.2</v>
      </c>
      <c r="V79" s="99">
        <f t="shared" si="20"/>
        <v>213.44839890410958</v>
      </c>
      <c r="W79" s="32">
        <f t="shared" si="21"/>
        <v>217.71736688219178</v>
      </c>
      <c r="X79" s="32">
        <f t="shared" si="22"/>
        <v>221.98633486027398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234885624</v>
      </c>
      <c r="P80" s="115"/>
      <c r="Q80" s="35">
        <v>1049856</v>
      </c>
      <c r="R80" s="5" t="s">
        <v>4441</v>
      </c>
      <c r="S80" s="5">
        <f>S79-6</f>
        <v>94</v>
      </c>
      <c r="T80" s="5" t="s">
        <v>4480</v>
      </c>
      <c r="U80" s="168">
        <v>184.5</v>
      </c>
      <c r="V80" s="99">
        <f t="shared" si="20"/>
        <v>199.87061917808219</v>
      </c>
      <c r="W80" s="32">
        <f t="shared" si="21"/>
        <v>203.86803156164385</v>
      </c>
      <c r="X80" s="32">
        <f t="shared" si="22"/>
        <v>207.8654439452055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 ht="30">
      <c r="D81" s="31" t="s">
        <v>308</v>
      </c>
      <c r="E81" s="1">
        <v>300000</v>
      </c>
      <c r="K81" s="22" t="s">
        <v>4824</v>
      </c>
      <c r="M81" t="s">
        <v>4267</v>
      </c>
      <c r="P81" s="115"/>
      <c r="Q81" s="35">
        <v>1783234</v>
      </c>
      <c r="R81" s="5" t="s">
        <v>4443</v>
      </c>
      <c r="S81" s="5">
        <f>S80-2</f>
        <v>92</v>
      </c>
      <c r="T81" s="5" t="s">
        <v>4444</v>
      </c>
      <c r="U81" s="168">
        <v>177.5</v>
      </c>
      <c r="V81" s="99">
        <f t="shared" si="20"/>
        <v>192.01512328767123</v>
      </c>
      <c r="W81" s="32">
        <f t="shared" si="21"/>
        <v>195.85542575342467</v>
      </c>
      <c r="X81" s="32">
        <f t="shared" si="22"/>
        <v>199.69572821917808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1662335</v>
      </c>
      <c r="R82" s="5" t="s">
        <v>4447</v>
      </c>
      <c r="S82" s="5">
        <f>S81-5</f>
        <v>87</v>
      </c>
      <c r="T82" s="224" t="s">
        <v>4606</v>
      </c>
      <c r="U82" s="168">
        <v>190.3</v>
      </c>
      <c r="V82" s="99">
        <f t="shared" si="20"/>
        <v>205.13192986301371</v>
      </c>
      <c r="W82" s="32">
        <f t="shared" si="21"/>
        <v>209.23456846027398</v>
      </c>
      <c r="X82" s="32">
        <f t="shared" si="22"/>
        <v>213.33720705753427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499973</v>
      </c>
      <c r="R83" s="168" t="s">
        <v>4596</v>
      </c>
      <c r="S83" s="168">
        <f>S82-37</f>
        <v>50</v>
      </c>
      <c r="T83" s="73" t="s">
        <v>4597</v>
      </c>
      <c r="U83" s="168">
        <v>413</v>
      </c>
      <c r="V83" s="99">
        <f t="shared" si="20"/>
        <v>433.46669589041102</v>
      </c>
      <c r="W83" s="32">
        <f t="shared" si="21"/>
        <v>442.13602980821923</v>
      </c>
      <c r="X83" s="32">
        <f t="shared" si="22"/>
        <v>450.80536372602745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11869317</v>
      </c>
      <c r="R84" s="168" t="s">
        <v>4607</v>
      </c>
      <c r="S84" s="168">
        <f>S83-2</f>
        <v>48</v>
      </c>
      <c r="T84" s="168" t="s">
        <v>4608</v>
      </c>
      <c r="U84" s="168">
        <v>395600</v>
      </c>
      <c r="V84" s="99">
        <f t="shared" si="20"/>
        <v>414597.47068493156</v>
      </c>
      <c r="W84" s="32">
        <f t="shared" si="21"/>
        <v>422889.42009863019</v>
      </c>
      <c r="X84" s="32">
        <f t="shared" si="22"/>
        <v>431181.36951232882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2272487</v>
      </c>
      <c r="R85" s="5" t="s">
        <v>4617</v>
      </c>
      <c r="S85" s="5">
        <f>S84-3</f>
        <v>45</v>
      </c>
      <c r="T85" s="5" t="s">
        <v>4618</v>
      </c>
      <c r="U85" s="168">
        <v>174.9</v>
      </c>
      <c r="V85" s="99">
        <f t="shared" si="20"/>
        <v>182.89652383561648</v>
      </c>
      <c r="W85" s="32">
        <f t="shared" si="21"/>
        <v>186.5544543123288</v>
      </c>
      <c r="X85" s="32">
        <f t="shared" si="22"/>
        <v>190.21238478904115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35">
        <v>3975257</v>
      </c>
      <c r="R86" s="5" t="s">
        <v>4623</v>
      </c>
      <c r="S86" s="5">
        <f>S85-1</f>
        <v>44</v>
      </c>
      <c r="T86" s="5" t="s">
        <v>4624</v>
      </c>
      <c r="U86" s="168">
        <v>173</v>
      </c>
      <c r="V86" s="99">
        <f t="shared" si="20"/>
        <v>180.77694246575342</v>
      </c>
      <c r="W86" s="32">
        <f t="shared" si="21"/>
        <v>184.39248131506849</v>
      </c>
      <c r="X86" s="32">
        <f t="shared" si="22"/>
        <v>188.00802016438357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1031662</v>
      </c>
      <c r="R87" s="5" t="s">
        <v>4234</v>
      </c>
      <c r="S87" s="5">
        <f>S86-1</f>
        <v>43</v>
      </c>
      <c r="T87" s="5" t="s">
        <v>4627</v>
      </c>
      <c r="U87" s="168">
        <v>171.2</v>
      </c>
      <c r="V87" s="99">
        <f t="shared" si="20"/>
        <v>178.76469479452055</v>
      </c>
      <c r="W87" s="32">
        <f t="shared" si="21"/>
        <v>182.33998869041096</v>
      </c>
      <c r="X87" s="32">
        <f t="shared" si="22"/>
        <v>185.91528258630137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43</v>
      </c>
      <c r="T88" s="168" t="s">
        <v>4629</v>
      </c>
      <c r="U88" s="168">
        <v>749</v>
      </c>
      <c r="V88" s="99">
        <f t="shared" si="20"/>
        <v>782.09553972602748</v>
      </c>
      <c r="W88" s="32">
        <f t="shared" si="21"/>
        <v>797.73745052054801</v>
      </c>
      <c r="X88" s="32">
        <f t="shared" si="22"/>
        <v>813.37936131506865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35">
        <v>577500</v>
      </c>
      <c r="R89" s="5" t="s">
        <v>4234</v>
      </c>
      <c r="S89" s="5">
        <f>S88</f>
        <v>43</v>
      </c>
      <c r="T89" s="5" t="s">
        <v>4632</v>
      </c>
      <c r="U89" s="168">
        <v>175</v>
      </c>
      <c r="V89" s="99">
        <f t="shared" si="20"/>
        <v>182.73260273972605</v>
      </c>
      <c r="W89" s="32">
        <f t="shared" si="21"/>
        <v>186.38725479452057</v>
      </c>
      <c r="X89" s="32">
        <f t="shared" si="22"/>
        <v>190.0419068493151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35">
        <v>12636487</v>
      </c>
      <c r="R90" s="5" t="s">
        <v>3691</v>
      </c>
      <c r="S90" s="5">
        <f>S89-2</f>
        <v>41</v>
      </c>
      <c r="T90" s="5" t="s">
        <v>4635</v>
      </c>
      <c r="U90" s="168">
        <v>172.1</v>
      </c>
      <c r="V90" s="99">
        <f t="shared" si="20"/>
        <v>179.440418630137</v>
      </c>
      <c r="W90" s="32">
        <f t="shared" si="21"/>
        <v>183.02922700273976</v>
      </c>
      <c r="X90" s="32">
        <f t="shared" si="22"/>
        <v>186.61803537534249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169">
        <v>1210169</v>
      </c>
      <c r="R91" s="168" t="s">
        <v>4638</v>
      </c>
      <c r="S91" s="168">
        <f>S90-3</f>
        <v>38</v>
      </c>
      <c r="T91" s="168" t="s">
        <v>4639</v>
      </c>
      <c r="U91" s="168">
        <v>1204.7</v>
      </c>
      <c r="V91" s="99">
        <f t="shared" si="20"/>
        <v>1253.3104701369864</v>
      </c>
      <c r="W91" s="32">
        <f t="shared" si="21"/>
        <v>1278.3766795397262</v>
      </c>
      <c r="X91" s="32">
        <f t="shared" si="22"/>
        <v>1303.442888942466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12131182</v>
      </c>
      <c r="R92" s="5" t="s">
        <v>4638</v>
      </c>
      <c r="S92" s="5">
        <f>S91</f>
        <v>38</v>
      </c>
      <c r="T92" s="5" t="s">
        <v>4640</v>
      </c>
      <c r="U92" s="168">
        <v>171.8</v>
      </c>
      <c r="V92" s="99">
        <f t="shared" si="20"/>
        <v>178.7322476712329</v>
      </c>
      <c r="W92" s="32">
        <f t="shared" si="21"/>
        <v>182.30689262465756</v>
      </c>
      <c r="X92" s="32">
        <f t="shared" si="22"/>
        <v>185.88153757808223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35">
        <v>8978273</v>
      </c>
      <c r="R93" s="5" t="s">
        <v>4644</v>
      </c>
      <c r="S93" s="5">
        <f>S92-1</f>
        <v>37</v>
      </c>
      <c r="T93" s="5" t="s">
        <v>4645</v>
      </c>
      <c r="U93" s="168">
        <v>3405.9</v>
      </c>
      <c r="V93" s="99">
        <f t="shared" si="20"/>
        <v>3540.7176526027406</v>
      </c>
      <c r="W93" s="32">
        <f t="shared" ref="W93:W137" si="23">V93*(1+$W$19/100)</f>
        <v>3611.5320056547953</v>
      </c>
      <c r="X93" s="32">
        <f t="shared" ref="X93:X137" si="24">V93*(1+$X$19/100)</f>
        <v>3682.3463587068504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169">
        <v>1013762</v>
      </c>
      <c r="R94" s="168" t="s">
        <v>4644</v>
      </c>
      <c r="S94" s="168">
        <f>S93</f>
        <v>37</v>
      </c>
      <c r="T94" s="168" t="s">
        <v>4647</v>
      </c>
      <c r="U94" s="168">
        <v>217.1</v>
      </c>
      <c r="V94" s="99">
        <f t="shared" si="20"/>
        <v>225.69359123287674</v>
      </c>
      <c r="W94" s="32">
        <f t="shared" si="23"/>
        <v>230.20746305753428</v>
      </c>
      <c r="X94" s="32">
        <f t="shared" si="24"/>
        <v>234.72133488219183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169">
        <v>12953846</v>
      </c>
      <c r="R95" s="168" t="s">
        <v>4644</v>
      </c>
      <c r="S95" s="168">
        <f>S94</f>
        <v>37</v>
      </c>
      <c r="T95" s="168" t="s">
        <v>4778</v>
      </c>
      <c r="U95" s="168">
        <v>4500.5</v>
      </c>
      <c r="V95" s="99">
        <f t="shared" si="20"/>
        <v>4678.645819178083</v>
      </c>
      <c r="W95" s="32">
        <f t="shared" si="23"/>
        <v>4772.2187355616452</v>
      </c>
      <c r="X95" s="32">
        <f t="shared" si="24"/>
        <v>4865.7916519452065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35">
        <v>4068640</v>
      </c>
      <c r="R96" s="5" t="s">
        <v>4651</v>
      </c>
      <c r="S96" s="5">
        <f>S95-1</f>
        <v>36</v>
      </c>
      <c r="T96" s="5" t="s">
        <v>4652</v>
      </c>
      <c r="U96" s="168">
        <v>3322.3</v>
      </c>
      <c r="V96" s="99">
        <f t="shared" si="20"/>
        <v>3451.2598531506851</v>
      </c>
      <c r="W96" s="32">
        <f t="shared" si="23"/>
        <v>3520.2850502136989</v>
      </c>
      <c r="X96" s="32">
        <f t="shared" si="24"/>
        <v>3589.3102472767127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12656982</v>
      </c>
      <c r="R97" s="5" t="s">
        <v>4651</v>
      </c>
      <c r="S97" s="5">
        <f>S96</f>
        <v>36</v>
      </c>
      <c r="T97" s="5" t="s">
        <v>4653</v>
      </c>
      <c r="U97" s="168">
        <v>5249.9</v>
      </c>
      <c r="V97" s="99">
        <f t="shared" si="20"/>
        <v>5453.6824197260275</v>
      </c>
      <c r="W97" s="32">
        <f t="shared" si="23"/>
        <v>5562.7560681205478</v>
      </c>
      <c r="X97" s="32">
        <f t="shared" si="24"/>
        <v>5671.8297165150689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4548</v>
      </c>
      <c r="P98" s="115"/>
      <c r="Q98" s="169">
        <v>100905</v>
      </c>
      <c r="R98" s="168" t="s">
        <v>4654</v>
      </c>
      <c r="S98" s="168">
        <f>S97-1</f>
        <v>35</v>
      </c>
      <c r="T98" s="168" t="s">
        <v>4660</v>
      </c>
      <c r="U98" s="168">
        <v>372</v>
      </c>
      <c r="V98" s="99">
        <f t="shared" si="20"/>
        <v>386.1543452054795</v>
      </c>
      <c r="W98" s="32">
        <f t="shared" si="23"/>
        <v>393.87743210958911</v>
      </c>
      <c r="X98" s="32">
        <f t="shared" si="24"/>
        <v>401.60051901369872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35">
        <v>48637534</v>
      </c>
      <c r="R99" s="5" t="s">
        <v>4654</v>
      </c>
      <c r="S99" s="5">
        <f>S98</f>
        <v>35</v>
      </c>
      <c r="T99" s="5" t="s">
        <v>4658</v>
      </c>
      <c r="U99" s="168">
        <v>5330</v>
      </c>
      <c r="V99" s="99">
        <f t="shared" si="20"/>
        <v>5532.8028493150696</v>
      </c>
      <c r="W99" s="32">
        <f t="shared" si="23"/>
        <v>5643.4589063013709</v>
      </c>
      <c r="X99" s="32">
        <f t="shared" si="24"/>
        <v>5754.1149632876723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40048573</v>
      </c>
      <c r="R100" s="5" t="s">
        <v>4654</v>
      </c>
      <c r="S100" s="5">
        <f>S99</f>
        <v>35</v>
      </c>
      <c r="T100" s="5" t="s">
        <v>4659</v>
      </c>
      <c r="U100" s="168">
        <v>498.9</v>
      </c>
      <c r="V100" s="99">
        <f t="shared" si="20"/>
        <v>517.88280328767132</v>
      </c>
      <c r="W100" s="32">
        <f t="shared" si="23"/>
        <v>528.24045935342474</v>
      </c>
      <c r="X100" s="32">
        <f t="shared" si="24"/>
        <v>538.59811541917816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169">
        <v>1000495</v>
      </c>
      <c r="R101" s="168" t="s">
        <v>4670</v>
      </c>
      <c r="S101" s="168">
        <f>S100-1</f>
        <v>34</v>
      </c>
      <c r="T101" s="168" t="s">
        <v>4745</v>
      </c>
      <c r="U101" s="168">
        <v>724.8</v>
      </c>
      <c r="V101" s="99">
        <f t="shared" si="20"/>
        <v>751.82213260273966</v>
      </c>
      <c r="W101" s="32">
        <f t="shared" si="23"/>
        <v>766.85857525479446</v>
      </c>
      <c r="X101" s="32">
        <f t="shared" si="24"/>
        <v>781.89501790684926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35">
        <v>37856769</v>
      </c>
      <c r="R102" s="5" t="s">
        <v>4670</v>
      </c>
      <c r="S102" s="5">
        <f>S101</f>
        <v>34</v>
      </c>
      <c r="T102" s="5" t="s">
        <v>4672</v>
      </c>
      <c r="U102" s="168">
        <v>5393.6</v>
      </c>
      <c r="V102" s="99">
        <f t="shared" ref="V102:V132" si="26">U102*(1+$N$86+$Q$15*S102/36500)</f>
        <v>5594.6852295890412</v>
      </c>
      <c r="W102" s="32">
        <f t="shared" si="23"/>
        <v>5706.5789341808222</v>
      </c>
      <c r="X102" s="32">
        <f t="shared" si="24"/>
        <v>5818.4726387726032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184">
        <f>$L$112/G103</f>
        <v>26065.573770491803</v>
      </c>
      <c r="G103" s="184">
        <f>P54</f>
        <v>183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>K103*$L$112</f>
        <v>286200000</v>
      </c>
      <c r="M103" s="221">
        <f>N21+N31+N54</f>
        <v>250033083</v>
      </c>
      <c r="N103" s="185">
        <f t="shared" ref="N103:N109" si="27">L103-M103</f>
        <v>36166917</v>
      </c>
      <c r="Q103" s="35">
        <v>155151</v>
      </c>
      <c r="R103" s="5" t="s">
        <v>4682</v>
      </c>
      <c r="S103" s="5">
        <f>S102-3</f>
        <v>31</v>
      </c>
      <c r="T103" s="5" t="s">
        <v>4684</v>
      </c>
      <c r="U103" s="168">
        <v>5325.9</v>
      </c>
      <c r="V103" s="99">
        <f t="shared" si="26"/>
        <v>5512.2043594520546</v>
      </c>
      <c r="W103" s="32">
        <f t="shared" si="23"/>
        <v>5622.4484466410959</v>
      </c>
      <c r="X103" s="32">
        <f t="shared" si="24"/>
        <v>5732.6925338301371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99">
        <f>$L$112/G104</f>
        <v>912.69157912863784</v>
      </c>
      <c r="G104" s="99">
        <f>P47</f>
        <v>5226.3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>K104*$L$112</f>
        <v>143100000</v>
      </c>
      <c r="M104" s="1">
        <f>N25+N47+N28</f>
        <v>144549005.40000001</v>
      </c>
      <c r="N104" s="113">
        <f t="shared" si="27"/>
        <v>-1449005.400000006</v>
      </c>
      <c r="Q104" s="169">
        <v>109726</v>
      </c>
      <c r="R104" s="168" t="s">
        <v>4682</v>
      </c>
      <c r="S104" s="168">
        <f>S103</f>
        <v>31</v>
      </c>
      <c r="T104" s="168" t="s">
        <v>4685</v>
      </c>
      <c r="U104" s="168">
        <v>3900.7</v>
      </c>
      <c r="V104" s="99">
        <f t="shared" si="26"/>
        <v>4037.1496920547947</v>
      </c>
      <c r="W104" s="32">
        <f t="shared" si="23"/>
        <v>4117.8926858958903</v>
      </c>
      <c r="X104" s="32">
        <f t="shared" si="24"/>
        <v>4198.6356797369863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184">
        <f>$L$112/G105</f>
        <v>1434.5433220053533</v>
      </c>
      <c r="G105" s="184">
        <f>P44</f>
        <v>3325.1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>K105*$L$112</f>
        <v>143100000</v>
      </c>
      <c r="M105" s="221">
        <f>N44+N29+N22</f>
        <v>153526517.19999999</v>
      </c>
      <c r="N105" s="185">
        <f t="shared" si="27"/>
        <v>-10426517.199999988</v>
      </c>
      <c r="Q105" s="35">
        <v>8938737</v>
      </c>
      <c r="R105" s="5" t="s">
        <v>4688</v>
      </c>
      <c r="S105" s="5">
        <f>S104-1</f>
        <v>30</v>
      </c>
      <c r="T105" s="5" t="s">
        <v>4690</v>
      </c>
      <c r="U105" s="168">
        <v>5179.5</v>
      </c>
      <c r="V105" s="99">
        <f t="shared" si="26"/>
        <v>5356.7098520547952</v>
      </c>
      <c r="W105" s="32">
        <f t="shared" si="23"/>
        <v>5463.844049095891</v>
      </c>
      <c r="X105" s="32">
        <f t="shared" si="24"/>
        <v>5570.9782461369869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99">
        <f>$L$112/G106</f>
        <v>9258.5403726708064</v>
      </c>
      <c r="G106" s="99">
        <f>P48</f>
        <v>515.20000000000005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>K106*$L$112</f>
        <v>143100000</v>
      </c>
      <c r="M106" s="1">
        <f>N48+N23+N30</f>
        <v>144874240</v>
      </c>
      <c r="N106" s="113">
        <f t="shared" si="27"/>
        <v>-1774240</v>
      </c>
      <c r="Q106" s="35">
        <v>2595417</v>
      </c>
      <c r="R106" s="5" t="s">
        <v>4698</v>
      </c>
      <c r="S106" s="5">
        <f>S105-1</f>
        <v>29</v>
      </c>
      <c r="T106" s="5" t="s">
        <v>4699</v>
      </c>
      <c r="U106" s="168">
        <v>4803</v>
      </c>
      <c r="V106" s="99">
        <f t="shared" si="26"/>
        <v>4963.6439013698628</v>
      </c>
      <c r="W106" s="32">
        <f t="shared" si="23"/>
        <v>5062.9167793972601</v>
      </c>
      <c r="X106" s="32">
        <f t="shared" si="24"/>
        <v>5162.1896574246575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184">
        <f>$L$112/G107</f>
        <v>973.60847468005625</v>
      </c>
      <c r="G107" s="184">
        <f>P50</f>
        <v>4899.3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>K107*$L$112</f>
        <v>90630000</v>
      </c>
      <c r="M107" s="221">
        <f>N50</f>
        <v>14271660.9</v>
      </c>
      <c r="N107" s="185">
        <f t="shared" si="27"/>
        <v>76358339.099999994</v>
      </c>
      <c r="Q107" s="169">
        <v>2505816</v>
      </c>
      <c r="R107" s="168" t="s">
        <v>4698</v>
      </c>
      <c r="S107" s="168">
        <f>S106</f>
        <v>29</v>
      </c>
      <c r="T107" s="168" t="s">
        <v>4700</v>
      </c>
      <c r="U107" s="168">
        <v>3723</v>
      </c>
      <c r="V107" s="99">
        <f t="shared" si="26"/>
        <v>3847.5216</v>
      </c>
      <c r="W107" s="32">
        <f t="shared" si="23"/>
        <v>3924.4720320000001</v>
      </c>
      <c r="X107" s="32">
        <f t="shared" si="24"/>
        <v>4001.4224640000002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99">
        <f>$L$112/G108</f>
        <v>1163.8120333772506</v>
      </c>
      <c r="G108" s="99">
        <f>P49</f>
        <v>4098.6000000000004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>K108*$L$112</f>
        <v>90630000</v>
      </c>
      <c r="M108" s="1">
        <f>N49+N24</f>
        <v>86074698.600000009</v>
      </c>
      <c r="N108" s="113">
        <f t="shared" si="27"/>
        <v>4555301.3999999911</v>
      </c>
      <c r="Q108" s="169">
        <v>183283</v>
      </c>
      <c r="R108" s="215" t="s">
        <v>4702</v>
      </c>
      <c r="S108" s="215">
        <f>S107-1</f>
        <v>28</v>
      </c>
      <c r="T108" s="215" t="s">
        <v>4716</v>
      </c>
      <c r="U108" s="215">
        <v>347.5</v>
      </c>
      <c r="V108" s="99">
        <f t="shared" si="26"/>
        <v>358.85610958904113</v>
      </c>
      <c r="W108" s="32">
        <f t="shared" si="23"/>
        <v>366.03323178082195</v>
      </c>
      <c r="X108" s="32">
        <f t="shared" si="24"/>
        <v>373.21035397260277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>K109*$L$112</f>
        <v>23850000</v>
      </c>
      <c r="M109" s="221">
        <f>N45+N46+N51+N53+N52</f>
        <v>6742495.2000000002</v>
      </c>
      <c r="N109" s="185">
        <f t="shared" si="27"/>
        <v>17107504.800000001</v>
      </c>
      <c r="Q109" s="169">
        <v>177438</v>
      </c>
      <c r="R109" s="215" t="s">
        <v>4702</v>
      </c>
      <c r="S109" s="215">
        <f t="shared" ref="S109:S113" si="28">S108</f>
        <v>28</v>
      </c>
      <c r="T109" s="215" t="s">
        <v>4711</v>
      </c>
      <c r="U109" s="215">
        <v>207.3</v>
      </c>
      <c r="V109" s="99">
        <f t="shared" si="26"/>
        <v>214.07445041095895</v>
      </c>
      <c r="W109" s="32">
        <f t="shared" si="23"/>
        <v>218.35593941917813</v>
      </c>
      <c r="X109" s="32">
        <f t="shared" si="24"/>
        <v>222.63742842739731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184"/>
      <c r="G110" s="184"/>
      <c r="H110" s="184"/>
      <c r="I110" s="184"/>
      <c r="J110" s="220" t="s">
        <v>4855</v>
      </c>
      <c r="K110" s="201"/>
      <c r="L110" s="221"/>
      <c r="M110" s="221"/>
      <c r="N110" s="185">
        <v>50000000</v>
      </c>
      <c r="Q110" s="35">
        <v>559461</v>
      </c>
      <c r="R110" s="5" t="s">
        <v>4702</v>
      </c>
      <c r="S110" s="5">
        <f t="shared" si="28"/>
        <v>28</v>
      </c>
      <c r="T110" s="5" t="s">
        <v>4712</v>
      </c>
      <c r="U110" s="215">
        <v>508.1</v>
      </c>
      <c r="V110" s="99">
        <f t="shared" si="26"/>
        <v>524.70442958904118</v>
      </c>
      <c r="W110" s="32">
        <f t="shared" si="23"/>
        <v>535.19851818082202</v>
      </c>
      <c r="X110" s="32">
        <f t="shared" si="24"/>
        <v>545.69260677260286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99"/>
      <c r="G111" s="99"/>
      <c r="H111" s="99"/>
      <c r="I111" s="99"/>
      <c r="J111" s="168" t="s">
        <v>4707</v>
      </c>
      <c r="K111" s="168">
        <f>SUM(K103:K109)</f>
        <v>193</v>
      </c>
      <c r="L111" s="168"/>
      <c r="M111" s="168"/>
      <c r="N111" s="169"/>
      <c r="Q111" s="35">
        <v>169080</v>
      </c>
      <c r="R111" s="5" t="s">
        <v>4702</v>
      </c>
      <c r="S111" s="5">
        <f t="shared" si="28"/>
        <v>28</v>
      </c>
      <c r="T111" s="5" t="s">
        <v>4713</v>
      </c>
      <c r="U111" s="215">
        <v>168.3</v>
      </c>
      <c r="V111" s="99">
        <f t="shared" si="26"/>
        <v>173.79995178082194</v>
      </c>
      <c r="W111" s="32">
        <f t="shared" si="23"/>
        <v>177.27595081643838</v>
      </c>
      <c r="X111" s="32">
        <f t="shared" si="24"/>
        <v>180.75194985205482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 t="s">
        <v>25</v>
      </c>
      <c r="I112" s="184"/>
      <c r="J112" s="201"/>
      <c r="K112" s="201">
        <v>24</v>
      </c>
      <c r="L112" s="39">
        <f>10*P55</f>
        <v>4770000</v>
      </c>
      <c r="M112" s="221">
        <f>K112*L112</f>
        <v>114480000</v>
      </c>
      <c r="N112" s="185">
        <f>SUM(N103:N110)-M112</f>
        <v>56058299.699999988</v>
      </c>
      <c r="Q112" s="35">
        <v>9376000</v>
      </c>
      <c r="R112" s="5" t="s">
        <v>4702</v>
      </c>
      <c r="S112" s="5">
        <f>S111</f>
        <v>28</v>
      </c>
      <c r="T112" s="5" t="s">
        <v>4714</v>
      </c>
      <c r="U112" s="215">
        <v>3184.1</v>
      </c>
      <c r="V112" s="99">
        <f t="shared" si="26"/>
        <v>3288.1546432876712</v>
      </c>
      <c r="W112" s="32">
        <f t="shared" si="23"/>
        <v>3353.9177361534248</v>
      </c>
      <c r="X112" s="32">
        <f t="shared" si="24"/>
        <v>3419.680829019178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 ht="30">
      <c r="F113" s="99"/>
      <c r="G113" s="99"/>
      <c r="H113" s="99"/>
      <c r="I113" s="99"/>
      <c r="J113" s="168"/>
      <c r="K113" s="216" t="s">
        <v>4846</v>
      </c>
      <c r="L113" s="168" t="s">
        <v>4253</v>
      </c>
      <c r="M113" s="168" t="s">
        <v>4696</v>
      </c>
      <c r="N113" s="168" t="s">
        <v>4697</v>
      </c>
      <c r="Q113" s="169">
        <v>128675</v>
      </c>
      <c r="R113" s="215" t="s">
        <v>4702</v>
      </c>
      <c r="S113" s="215">
        <f t="shared" si="28"/>
        <v>28</v>
      </c>
      <c r="T113" s="215" t="s">
        <v>4715</v>
      </c>
      <c r="U113" s="215">
        <v>699.9</v>
      </c>
      <c r="V113" s="99">
        <f t="shared" si="26"/>
        <v>722.77234849315073</v>
      </c>
      <c r="W113" s="32">
        <f t="shared" si="23"/>
        <v>737.22779546301376</v>
      </c>
      <c r="X113" s="32">
        <f t="shared" si="24"/>
        <v>751.6832424328768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 ht="30">
      <c r="F114" s="184"/>
      <c r="G114" s="184"/>
      <c r="H114" s="184"/>
      <c r="I114" s="184"/>
      <c r="J114" s="240" t="s">
        <v>4705</v>
      </c>
      <c r="K114" s="201"/>
      <c r="L114" s="201"/>
      <c r="M114" s="201"/>
      <c r="N114" s="201"/>
      <c r="Q114" s="35">
        <v>13100555</v>
      </c>
      <c r="R114" s="5" t="s">
        <v>4730</v>
      </c>
      <c r="S114" s="5">
        <f>S113-1</f>
        <v>27</v>
      </c>
      <c r="T114" s="5" t="s">
        <v>4733</v>
      </c>
      <c r="U114" s="215">
        <v>3180.5</v>
      </c>
      <c r="V114" s="99">
        <f t="shared" si="26"/>
        <v>3281.9971616438361</v>
      </c>
      <c r="W114" s="32">
        <f t="shared" si="23"/>
        <v>3347.6371048767128</v>
      </c>
      <c r="X114" s="32">
        <f t="shared" si="24"/>
        <v>3413.2770481095895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>
      <c r="M115" t="s">
        <v>25</v>
      </c>
      <c r="Q115" s="35">
        <v>622942</v>
      </c>
      <c r="R115" s="5" t="s">
        <v>4730</v>
      </c>
      <c r="S115" s="5">
        <f>S114</f>
        <v>27</v>
      </c>
      <c r="T115" s="5" t="s">
        <v>4734</v>
      </c>
      <c r="U115" s="215">
        <v>503.3</v>
      </c>
      <c r="V115" s="99">
        <f t="shared" si="26"/>
        <v>519.36147506849329</v>
      </c>
      <c r="W115" s="32">
        <f t="shared" si="23"/>
        <v>529.74870456986321</v>
      </c>
      <c r="X115" s="32">
        <f t="shared" si="24"/>
        <v>540.13593407123301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P116" s="114"/>
      <c r="Q116" s="35">
        <v>1472140</v>
      </c>
      <c r="R116" s="5" t="s">
        <v>4739</v>
      </c>
      <c r="S116" s="5">
        <f>S115-3</f>
        <v>24</v>
      </c>
      <c r="T116" s="5" t="s">
        <v>4743</v>
      </c>
      <c r="U116" s="168">
        <v>502</v>
      </c>
      <c r="V116" s="99">
        <f t="shared" si="26"/>
        <v>516.86470136986304</v>
      </c>
      <c r="W116" s="32">
        <f t="shared" si="23"/>
        <v>527.20199539726036</v>
      </c>
      <c r="X116" s="32">
        <f t="shared" si="24"/>
        <v>537.53928942465757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F117" s="219"/>
      <c r="G117" s="219"/>
      <c r="H117" s="219"/>
      <c r="I117" s="219"/>
      <c r="J117" s="219" t="s">
        <v>4848</v>
      </c>
      <c r="K117" s="168" t="s">
        <v>4549</v>
      </c>
      <c r="L117" s="168" t="s">
        <v>4550</v>
      </c>
      <c r="M117" s="168" t="s">
        <v>4439</v>
      </c>
      <c r="N117" s="56" t="s">
        <v>190</v>
      </c>
      <c r="Q117" s="35">
        <v>4394591</v>
      </c>
      <c r="R117" s="5" t="s">
        <v>4746</v>
      </c>
      <c r="S117" s="5">
        <f>S116-1</f>
        <v>23</v>
      </c>
      <c r="T117" s="5" t="s">
        <v>4747</v>
      </c>
      <c r="U117" s="168">
        <v>481.7</v>
      </c>
      <c r="V117" s="99">
        <f t="shared" si="26"/>
        <v>495.59407561643837</v>
      </c>
      <c r="W117" s="32">
        <f t="shared" si="23"/>
        <v>505.50595712876714</v>
      </c>
      <c r="X117" s="32">
        <f t="shared" si="24"/>
        <v>515.41783864109595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F118" s="219" t="s">
        <v>4365</v>
      </c>
      <c r="G118" s="219" t="s">
        <v>941</v>
      </c>
      <c r="H118" s="219" t="s">
        <v>4549</v>
      </c>
      <c r="I118" s="219" t="s">
        <v>937</v>
      </c>
      <c r="J118" s="219" t="s">
        <v>4849</v>
      </c>
      <c r="K118" s="168" t="s">
        <v>4243</v>
      </c>
      <c r="L118" s="169">
        <v>1100000</v>
      </c>
      <c r="M118" s="169">
        <v>1637000</v>
      </c>
      <c r="N118" s="168">
        <f t="shared" ref="N118:N126" si="29">(M118-L118)*100/L118</f>
        <v>48.81818181818182</v>
      </c>
      <c r="Q118" s="117">
        <v>4085110</v>
      </c>
      <c r="R118" s="19" t="s">
        <v>4749</v>
      </c>
      <c r="S118" s="19">
        <f>S117-1</f>
        <v>22</v>
      </c>
      <c r="T118" s="19" t="s">
        <v>4750</v>
      </c>
      <c r="U118" s="219">
        <v>3115.9</v>
      </c>
      <c r="V118" s="99">
        <f t="shared" si="26"/>
        <v>3203.384227945206</v>
      </c>
      <c r="W118" s="32">
        <f t="shared" si="23"/>
        <v>3267.4519125041102</v>
      </c>
      <c r="X118" s="32">
        <f t="shared" si="24"/>
        <v>3331.5195970630143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F119" s="219">
        <v>3307.5</v>
      </c>
      <c r="G119" s="219">
        <f>P44</f>
        <v>3325.1</v>
      </c>
      <c r="H119" s="219" t="s">
        <v>4393</v>
      </c>
      <c r="I119" s="219">
        <v>3761</v>
      </c>
      <c r="J119" s="1">
        <f>I119*P44</f>
        <v>12505701.1</v>
      </c>
      <c r="K119" s="5" t="s">
        <v>4544</v>
      </c>
      <c r="L119" s="169">
        <v>1100000</v>
      </c>
      <c r="M119" s="169">
        <v>4748000</v>
      </c>
      <c r="N119" s="168">
        <f t="shared" si="29"/>
        <v>331.63636363636363</v>
      </c>
      <c r="Q119" s="117">
        <v>205386</v>
      </c>
      <c r="R119" s="19" t="s">
        <v>4751</v>
      </c>
      <c r="S119" s="19">
        <f>S118</f>
        <v>22</v>
      </c>
      <c r="T119" s="19" t="s">
        <v>4752</v>
      </c>
      <c r="U119" s="219">
        <v>178.1</v>
      </c>
      <c r="V119" s="99">
        <f t="shared" si="26"/>
        <v>183.10046246575345</v>
      </c>
      <c r="W119" s="32">
        <f t="shared" si="23"/>
        <v>186.76247171506853</v>
      </c>
      <c r="X119" s="32">
        <f t="shared" si="24"/>
        <v>190.4244809643836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9">
        <v>5249.5</v>
      </c>
      <c r="G120" s="219">
        <f>P47</f>
        <v>5226.3</v>
      </c>
      <c r="H120" s="219" t="s">
        <v>4397</v>
      </c>
      <c r="I120" s="219">
        <v>4683</v>
      </c>
      <c r="J120" s="1">
        <f>I120*P47</f>
        <v>24474762.900000002</v>
      </c>
      <c r="K120" s="5" t="s">
        <v>4545</v>
      </c>
      <c r="L120" s="169">
        <v>1100000</v>
      </c>
      <c r="M120" s="169">
        <v>5137000</v>
      </c>
      <c r="N120" s="168">
        <f t="shared" si="29"/>
        <v>367</v>
      </c>
      <c r="P120" s="114"/>
      <c r="Q120" s="117">
        <v>101496</v>
      </c>
      <c r="R120" s="19" t="s">
        <v>4753</v>
      </c>
      <c r="S120" s="19">
        <f>S119-1</f>
        <v>21</v>
      </c>
      <c r="T120" s="19" t="s">
        <v>4755</v>
      </c>
      <c r="U120" s="219">
        <v>168.1</v>
      </c>
      <c r="V120" s="99">
        <f t="shared" si="26"/>
        <v>172.69074191780823</v>
      </c>
      <c r="W120" s="32">
        <f t="shared" si="23"/>
        <v>176.14455675616441</v>
      </c>
      <c r="X120" s="32">
        <f t="shared" si="24"/>
        <v>179.59837159452056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9">
        <v>519.79999999999995</v>
      </c>
      <c r="G121" s="219">
        <f>P48</f>
        <v>515.20000000000005</v>
      </c>
      <c r="H121" s="219" t="s">
        <v>4412</v>
      </c>
      <c r="I121" s="219">
        <v>24760</v>
      </c>
      <c r="J121" s="1">
        <f>I121*P48</f>
        <v>12756352.000000002</v>
      </c>
      <c r="K121" s="19" t="s">
        <v>4393</v>
      </c>
      <c r="L121" s="169">
        <v>1100000</v>
      </c>
      <c r="M121" s="169">
        <v>4300000</v>
      </c>
      <c r="N121" s="168">
        <f t="shared" si="29"/>
        <v>290.90909090909093</v>
      </c>
      <c r="Q121" s="117">
        <v>8398607</v>
      </c>
      <c r="R121" s="19" t="s">
        <v>4765</v>
      </c>
      <c r="S121" s="19">
        <f>S120-7</f>
        <v>14</v>
      </c>
      <c r="T121" s="19" t="s">
        <v>4767</v>
      </c>
      <c r="U121" s="219">
        <v>3120.5</v>
      </c>
      <c r="V121" s="99">
        <f t="shared" si="26"/>
        <v>3188.9629150684937</v>
      </c>
      <c r="W121" s="32">
        <f t="shared" si="23"/>
        <v>3252.7421733698634</v>
      </c>
      <c r="X121" s="32">
        <f t="shared" si="24"/>
        <v>3316.5214316712336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0">AL122+AK121</f>
        <v>39</v>
      </c>
      <c r="AM121" s="117">
        <f t="shared" ref="AM121:AM147" si="31">AJ121*AL121</f>
        <v>343200000</v>
      </c>
      <c r="AN121" s="99"/>
      <c r="AP121" t="s">
        <v>25</v>
      </c>
    </row>
    <row r="122" spans="6:43" ht="45">
      <c r="F122" s="219">
        <v>4051</v>
      </c>
      <c r="G122" s="219">
        <f>P49</f>
        <v>4098.6000000000004</v>
      </c>
      <c r="H122" s="219" t="s">
        <v>4546</v>
      </c>
      <c r="I122" s="219">
        <v>130</v>
      </c>
      <c r="J122" s="1">
        <f>I122*P49</f>
        <v>532818</v>
      </c>
      <c r="K122" s="5" t="s">
        <v>4412</v>
      </c>
      <c r="L122" s="169">
        <v>1100000</v>
      </c>
      <c r="M122" s="169">
        <v>3191000</v>
      </c>
      <c r="N122" s="168">
        <f t="shared" si="29"/>
        <v>190.09090909090909</v>
      </c>
      <c r="Q122" s="117">
        <v>18565999</v>
      </c>
      <c r="R122" s="19" t="s">
        <v>4768</v>
      </c>
      <c r="S122" s="19">
        <f>S121-1</f>
        <v>13</v>
      </c>
      <c r="T122" s="19" t="s">
        <v>4777</v>
      </c>
      <c r="U122" s="219">
        <v>3112.4</v>
      </c>
      <c r="V122" s="99">
        <f t="shared" si="26"/>
        <v>3178.2976087671236</v>
      </c>
      <c r="W122" s="32">
        <f t="shared" si="23"/>
        <v>3241.8635609424659</v>
      </c>
      <c r="X122" s="32">
        <f t="shared" si="24"/>
        <v>3305.4295131178087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0"/>
        <v>39</v>
      </c>
      <c r="AM122" s="79">
        <f t="shared" si="31"/>
        <v>509792868</v>
      </c>
      <c r="AN122" s="210" t="s">
        <v>4641</v>
      </c>
      <c r="AQ122" t="s">
        <v>25</v>
      </c>
    </row>
    <row r="123" spans="6:43">
      <c r="F123" s="219"/>
      <c r="G123" s="219"/>
      <c r="H123" s="219"/>
      <c r="I123" s="219"/>
      <c r="J123" s="1">
        <f>SUM(J119:J122)</f>
        <v>50269634</v>
      </c>
      <c r="K123" s="5" t="s">
        <v>4546</v>
      </c>
      <c r="L123" s="169">
        <v>1100000</v>
      </c>
      <c r="M123" s="169">
        <v>5623000</v>
      </c>
      <c r="N123" s="168">
        <f t="shared" si="29"/>
        <v>411.18181818181819</v>
      </c>
      <c r="Q123" s="117">
        <v>8381048</v>
      </c>
      <c r="R123" s="19" t="s">
        <v>4782</v>
      </c>
      <c r="S123" s="19">
        <f>S122-3</f>
        <v>10</v>
      </c>
      <c r="T123" s="19" t="s">
        <v>4808</v>
      </c>
      <c r="U123" s="219">
        <v>489</v>
      </c>
      <c r="V123" s="99">
        <f t="shared" si="26"/>
        <v>498.2280328767124</v>
      </c>
      <c r="W123" s="32">
        <f t="shared" si="23"/>
        <v>508.19259353424667</v>
      </c>
      <c r="X123" s="32">
        <f t="shared" si="24"/>
        <v>518.15715419178093</v>
      </c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0"/>
        <v>38</v>
      </c>
      <c r="AM123" s="90">
        <f t="shared" si="31"/>
        <v>635627406</v>
      </c>
      <c r="AN123" s="89" t="s">
        <v>4655</v>
      </c>
    </row>
    <row r="124" spans="6:43">
      <c r="F124" s="219"/>
      <c r="G124" s="219"/>
      <c r="H124" s="219"/>
      <c r="I124" s="219"/>
      <c r="J124" s="219" t="s">
        <v>6</v>
      </c>
      <c r="K124" s="19" t="s">
        <v>4397</v>
      </c>
      <c r="L124" s="169">
        <v>1100000</v>
      </c>
      <c r="M124" s="169">
        <v>7728000</v>
      </c>
      <c r="N124" s="168">
        <f t="shared" si="29"/>
        <v>602.5454545454545</v>
      </c>
      <c r="Q124" s="117">
        <v>164801</v>
      </c>
      <c r="R124" s="19" t="s">
        <v>4796</v>
      </c>
      <c r="S124" s="19">
        <f>S123-2</f>
        <v>8</v>
      </c>
      <c r="T124" s="19" t="s">
        <v>4801</v>
      </c>
      <c r="U124" s="219">
        <v>3095.1</v>
      </c>
      <c r="V124" s="99">
        <f t="shared" si="26"/>
        <v>3148.75970630137</v>
      </c>
      <c r="W124" s="32">
        <f t="shared" si="23"/>
        <v>3211.7349004273974</v>
      </c>
      <c r="X124" s="32">
        <f t="shared" si="24"/>
        <v>3274.7100945534248</v>
      </c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0"/>
        <v>38</v>
      </c>
      <c r="AM124" s="117">
        <f t="shared" si="31"/>
        <v>456000000</v>
      </c>
      <c r="AN124" s="99" t="s">
        <v>4656</v>
      </c>
    </row>
    <row r="125" spans="6:43">
      <c r="K125" s="5" t="s">
        <v>4548</v>
      </c>
      <c r="L125" s="169">
        <v>1100000</v>
      </c>
      <c r="M125" s="169">
        <v>2904000</v>
      </c>
      <c r="N125" s="168">
        <f t="shared" si="29"/>
        <v>164</v>
      </c>
      <c r="P125" s="114"/>
      <c r="Q125" s="117">
        <v>223613</v>
      </c>
      <c r="R125" s="19" t="s">
        <v>4796</v>
      </c>
      <c r="S125" s="19">
        <f>S124</f>
        <v>8</v>
      </c>
      <c r="T125" s="19" t="s">
        <v>4802</v>
      </c>
      <c r="U125" s="219">
        <v>4637.1000000000004</v>
      </c>
      <c r="V125" s="99">
        <f t="shared" si="26"/>
        <v>4717.4933391780833</v>
      </c>
      <c r="W125" s="32">
        <f t="shared" si="23"/>
        <v>4811.8432059616453</v>
      </c>
      <c r="X125" s="32">
        <f t="shared" si="24"/>
        <v>4906.1930727452063</v>
      </c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0"/>
        <v>37</v>
      </c>
      <c r="AM125" s="90">
        <f t="shared" si="31"/>
        <v>3281813679</v>
      </c>
      <c r="AN125" s="89" t="s">
        <v>4657</v>
      </c>
      <c r="AP125" t="s">
        <v>25</v>
      </c>
    </row>
    <row r="126" spans="6:43">
      <c r="K126" s="56" t="s">
        <v>1086</v>
      </c>
      <c r="L126" s="169">
        <v>1100000</v>
      </c>
      <c r="M126" s="169">
        <v>3400000</v>
      </c>
      <c r="N126" s="168">
        <f t="shared" si="29"/>
        <v>209.09090909090909</v>
      </c>
      <c r="Q126" s="117">
        <v>989631</v>
      </c>
      <c r="R126" s="19" t="s">
        <v>4796</v>
      </c>
      <c r="S126" s="19">
        <f>S125</f>
        <v>8</v>
      </c>
      <c r="T126" s="19" t="s">
        <v>4803</v>
      </c>
      <c r="U126" s="219">
        <v>3863</v>
      </c>
      <c r="V126" s="99">
        <f t="shared" si="26"/>
        <v>3929.9727780821922</v>
      </c>
      <c r="W126" s="32">
        <f t="shared" si="23"/>
        <v>4008.5722336438362</v>
      </c>
      <c r="X126" s="32">
        <f t="shared" si="24"/>
        <v>4087.1716892054801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36</v>
      </c>
      <c r="AM126" s="117">
        <f t="shared" si="31"/>
        <v>3636000</v>
      </c>
      <c r="AN126" s="99"/>
    </row>
    <row r="127" spans="6:43">
      <c r="K127" s="208" t="s">
        <v>4580</v>
      </c>
      <c r="Q127" s="117">
        <v>441608</v>
      </c>
      <c r="R127" s="19" t="s">
        <v>4796</v>
      </c>
      <c r="S127" s="19">
        <f>S126</f>
        <v>8</v>
      </c>
      <c r="T127" s="19" t="s">
        <v>4804</v>
      </c>
      <c r="U127" s="219">
        <v>169</v>
      </c>
      <c r="V127" s="99">
        <f t="shared" si="26"/>
        <v>171.92995068493153</v>
      </c>
      <c r="W127" s="32">
        <f t="shared" si="23"/>
        <v>175.36854969863015</v>
      </c>
      <c r="X127" s="32">
        <f t="shared" si="24"/>
        <v>178.8071487123288</v>
      </c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2">AL128+AK127</f>
        <v>36</v>
      </c>
      <c r="AM127" s="190">
        <f t="shared" si="31"/>
        <v>-1735200</v>
      </c>
      <c r="AN127" s="149" t="s">
        <v>4665</v>
      </c>
      <c r="AQ127" t="s">
        <v>25</v>
      </c>
    </row>
    <row r="128" spans="6:43">
      <c r="K128" s="208" t="s">
        <v>4581</v>
      </c>
      <c r="Q128" s="117">
        <v>5001091</v>
      </c>
      <c r="R128" s="19" t="s">
        <v>4807</v>
      </c>
      <c r="S128" s="19">
        <f>S127-1</f>
        <v>7</v>
      </c>
      <c r="T128" s="19" t="s">
        <v>4809</v>
      </c>
      <c r="U128" s="219">
        <v>3125</v>
      </c>
      <c r="V128" s="99">
        <f t="shared" si="26"/>
        <v>3176.7808219178087</v>
      </c>
      <c r="W128" s="32">
        <f t="shared" si="23"/>
        <v>3240.3164383561648</v>
      </c>
      <c r="X128" s="32">
        <f t="shared" si="24"/>
        <v>3303.8520547945213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2"/>
        <v>36</v>
      </c>
      <c r="AM128" s="190">
        <f t="shared" si="31"/>
        <v>1415782548</v>
      </c>
      <c r="AN128" s="89" t="s">
        <v>4666</v>
      </c>
    </row>
    <row r="129" spans="11:44">
      <c r="K129" s="208" t="s">
        <v>4582</v>
      </c>
      <c r="Q129" s="117">
        <v>12497226</v>
      </c>
      <c r="R129" s="19" t="s">
        <v>4847</v>
      </c>
      <c r="S129" s="19">
        <f>S128-7</f>
        <v>0</v>
      </c>
      <c r="T129" s="19" t="s">
        <v>4851</v>
      </c>
      <c r="U129" s="219">
        <v>3307.5</v>
      </c>
      <c r="V129" s="99">
        <f t="shared" si="26"/>
        <v>3344.5440000000003</v>
      </c>
      <c r="W129" s="32">
        <f t="shared" si="23"/>
        <v>3411.4348800000002</v>
      </c>
      <c r="X129" s="32">
        <f t="shared" si="24"/>
        <v>3478.3257600000006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2"/>
        <v>32</v>
      </c>
      <c r="AM129" s="90">
        <f t="shared" si="31"/>
        <v>279969600</v>
      </c>
      <c r="AN129" s="89" t="s">
        <v>4686</v>
      </c>
    </row>
    <row r="130" spans="11:44">
      <c r="P130" s="114"/>
      <c r="Q130" s="117">
        <v>24695044</v>
      </c>
      <c r="R130" s="19" t="s">
        <v>4847</v>
      </c>
      <c r="S130" s="19">
        <f>S129</f>
        <v>0</v>
      </c>
      <c r="T130" s="19" t="s">
        <v>4852</v>
      </c>
      <c r="U130" s="219">
        <v>5249.5</v>
      </c>
      <c r="V130" s="99">
        <f t="shared" si="26"/>
        <v>5308.2944000000007</v>
      </c>
      <c r="W130" s="32">
        <f t="shared" si="23"/>
        <v>5414.4602880000011</v>
      </c>
      <c r="X130" s="32">
        <f t="shared" si="24"/>
        <v>5520.6261760000007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2"/>
        <v>31</v>
      </c>
      <c r="AM130" s="117">
        <f t="shared" si="31"/>
        <v>1860000</v>
      </c>
      <c r="AN130" s="99" t="s">
        <v>4689</v>
      </c>
      <c r="AQ130" t="s">
        <v>25</v>
      </c>
    </row>
    <row r="131" spans="11:44">
      <c r="Q131" s="117">
        <v>12930864</v>
      </c>
      <c r="R131" s="19" t="s">
        <v>4847</v>
      </c>
      <c r="S131" s="19">
        <f>S130</f>
        <v>0</v>
      </c>
      <c r="T131" s="19" t="s">
        <v>4853</v>
      </c>
      <c r="U131" s="219">
        <v>519.79999999999995</v>
      </c>
      <c r="V131" s="99">
        <f t="shared" si="26"/>
        <v>525.62175999999999</v>
      </c>
      <c r="W131" s="32">
        <f t="shared" si="23"/>
        <v>536.13419520000002</v>
      </c>
      <c r="X131" s="32">
        <f t="shared" si="24"/>
        <v>546.64663040000005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2"/>
        <v>30</v>
      </c>
      <c r="AM131" s="117">
        <f t="shared" si="31"/>
        <v>142500000</v>
      </c>
      <c r="AN131" s="20"/>
    </row>
    <row r="132" spans="11:44">
      <c r="Q132" s="117">
        <v>529210</v>
      </c>
      <c r="R132" s="19" t="s">
        <v>4847</v>
      </c>
      <c r="S132" s="19">
        <f>S131</f>
        <v>0</v>
      </c>
      <c r="T132" s="19" t="s">
        <v>4854</v>
      </c>
      <c r="U132" s="219">
        <v>4051</v>
      </c>
      <c r="V132" s="99">
        <f t="shared" si="26"/>
        <v>4096.3712000000005</v>
      </c>
      <c r="W132" s="32">
        <f t="shared" si="23"/>
        <v>4178.2986240000009</v>
      </c>
      <c r="X132" s="32">
        <f t="shared" si="24"/>
        <v>4260.2260480000004</v>
      </c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2"/>
        <v>30</v>
      </c>
      <c r="AM132" s="90">
        <f t="shared" si="31"/>
        <v>393034800</v>
      </c>
      <c r="AN132" s="89" t="s">
        <v>4703</v>
      </c>
    </row>
    <row r="133" spans="11:44">
      <c r="Q133" s="117"/>
      <c r="R133" s="19"/>
      <c r="S133" s="19"/>
      <c r="T133" s="19"/>
      <c r="U133" s="219"/>
      <c r="V133" s="99"/>
      <c r="W133" s="32"/>
      <c r="X133" s="32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2"/>
        <v>29</v>
      </c>
      <c r="AM133" s="117">
        <f t="shared" si="31"/>
        <v>-28420000</v>
      </c>
      <c r="AN133" s="20"/>
    </row>
    <row r="134" spans="11:44">
      <c r="Q134" s="117"/>
      <c r="R134" s="19"/>
      <c r="S134" s="19"/>
      <c r="T134" s="19"/>
      <c r="U134" s="219"/>
      <c r="V134" s="99"/>
      <c r="W134" s="32"/>
      <c r="X134" s="32"/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2"/>
        <v>29</v>
      </c>
      <c r="AM134" s="90">
        <f t="shared" si="31"/>
        <v>385751910</v>
      </c>
      <c r="AN134" s="89" t="s">
        <v>4703</v>
      </c>
    </row>
    <row r="135" spans="11:44">
      <c r="Q135" s="117"/>
      <c r="R135" s="19"/>
      <c r="S135" s="19"/>
      <c r="T135" s="19"/>
      <c r="U135" s="219"/>
      <c r="V135" s="99"/>
      <c r="W135" s="32"/>
      <c r="X135" s="32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2"/>
        <v>29</v>
      </c>
      <c r="AM135" s="117">
        <f t="shared" si="31"/>
        <v>11716000</v>
      </c>
      <c r="AN135" s="20" t="s">
        <v>4717</v>
      </c>
      <c r="AQ135" t="s">
        <v>25</v>
      </c>
    </row>
    <row r="136" spans="11:44">
      <c r="Q136" s="169"/>
      <c r="R136" s="168"/>
      <c r="S136" s="168"/>
      <c r="T136" s="168"/>
      <c r="U136" s="168"/>
      <c r="V136" s="99"/>
      <c r="W136" s="32"/>
      <c r="X136" s="32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2"/>
        <v>24</v>
      </c>
      <c r="AM136" s="90">
        <f t="shared" si="31"/>
        <v>102999072</v>
      </c>
      <c r="AN136" s="89" t="s">
        <v>4748</v>
      </c>
    </row>
    <row r="137" spans="11:44">
      <c r="Q137" s="169"/>
      <c r="R137" s="168"/>
      <c r="S137" s="168"/>
      <c r="T137" s="168"/>
      <c r="U137" s="168"/>
      <c r="V137" s="99">
        <f>U137*(1+$N$86+$Q$15*S137/36500)</f>
        <v>0</v>
      </c>
      <c r="W137" s="32">
        <f t="shared" si="23"/>
        <v>0</v>
      </c>
      <c r="X137" s="32">
        <f t="shared" si="24"/>
        <v>0</v>
      </c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2"/>
        <v>22</v>
      </c>
      <c r="AM137" s="117">
        <f t="shared" si="31"/>
        <v>22000</v>
      </c>
      <c r="AN137" s="20"/>
    </row>
    <row r="138" spans="11:44">
      <c r="Q138" s="113">
        <f>SUM(N44:N55)-SUM(Q70:Q137)</f>
        <v>-4655305.2000000477</v>
      </c>
      <c r="R138" s="112"/>
      <c r="S138" s="112"/>
      <c r="T138" s="112"/>
      <c r="U138" s="168"/>
      <c r="V138" s="99" t="s">
        <v>25</v>
      </c>
      <c r="W138" s="32"/>
      <c r="X138" s="32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2"/>
        <v>17</v>
      </c>
      <c r="AM138" s="79">
        <f t="shared" si="31"/>
        <v>148570803</v>
      </c>
      <c r="AN138" s="121" t="s">
        <v>4686</v>
      </c>
    </row>
    <row r="139" spans="11:44">
      <c r="Q139" s="26"/>
      <c r="R139" s="182"/>
      <c r="S139" s="182"/>
      <c r="T139" t="s">
        <v>25</v>
      </c>
      <c r="U139" s="96" t="s">
        <v>25</v>
      </c>
      <c r="V139" s="96" t="s">
        <v>25</v>
      </c>
      <c r="W139" s="96" t="s">
        <v>25</v>
      </c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2"/>
        <v>15</v>
      </c>
      <c r="AM139" s="79">
        <f t="shared" si="31"/>
        <v>263929170</v>
      </c>
      <c r="AN139" s="121" t="s">
        <v>4770</v>
      </c>
    </row>
    <row r="140" spans="11:44">
      <c r="R140" s="32" t="s">
        <v>4584</v>
      </c>
      <c r="S140" s="32" t="s">
        <v>950</v>
      </c>
      <c r="T140" t="s">
        <v>25</v>
      </c>
      <c r="U140" s="96" t="s">
        <v>25</v>
      </c>
      <c r="V140" s="96" t="s">
        <v>25</v>
      </c>
      <c r="W140" s="96" t="s">
        <v>25</v>
      </c>
      <c r="X140" s="122" t="s">
        <v>25</v>
      </c>
      <c r="AH140" s="121">
        <v>120</v>
      </c>
      <c r="AI140" s="79" t="s">
        <v>4768</v>
      </c>
      <c r="AJ140" s="79">
        <v>13335309</v>
      </c>
      <c r="AK140" s="121">
        <v>13</v>
      </c>
      <c r="AL140" s="121">
        <f t="shared" si="32"/>
        <v>14</v>
      </c>
      <c r="AM140" s="79">
        <f t="shared" si="31"/>
        <v>186694326</v>
      </c>
      <c r="AN140" s="121" t="s">
        <v>4703</v>
      </c>
    </row>
    <row r="141" spans="11:44">
      <c r="R141" s="32">
        <v>27060</v>
      </c>
      <c r="S141" s="169">
        <v>13293737</v>
      </c>
      <c r="U141" s="96" t="s">
        <v>25</v>
      </c>
      <c r="V141" s="122" t="s">
        <v>25</v>
      </c>
      <c r="X141" t="s">
        <v>25</v>
      </c>
      <c r="AH141" s="161">
        <v>121</v>
      </c>
      <c r="AI141" s="241" t="s">
        <v>4847</v>
      </c>
      <c r="AJ141" s="241">
        <v>50000000</v>
      </c>
      <c r="AK141" s="161">
        <v>1</v>
      </c>
      <c r="AL141" s="161">
        <f t="shared" si="32"/>
        <v>1</v>
      </c>
      <c r="AM141" s="241">
        <f t="shared" si="31"/>
        <v>50000000</v>
      </c>
      <c r="AN141" s="161" t="s">
        <v>4850</v>
      </c>
      <c r="AP141" t="s">
        <v>25</v>
      </c>
      <c r="AR141" t="s">
        <v>25</v>
      </c>
    </row>
    <row r="142" spans="11:44">
      <c r="Q142" t="s">
        <v>25</v>
      </c>
      <c r="R142" s="32">
        <v>10000</v>
      </c>
      <c r="S142" s="1">
        <f>S141*R142/R141</f>
        <v>4912689.2091648187</v>
      </c>
      <c r="U142" s="96" t="s">
        <v>25</v>
      </c>
      <c r="V142" s="122" t="s">
        <v>25</v>
      </c>
      <c r="W142" s="96" t="s">
        <v>25</v>
      </c>
      <c r="X142" t="s">
        <v>25</v>
      </c>
      <c r="AH142" s="20"/>
      <c r="AI142" s="117"/>
      <c r="AJ142" s="117"/>
      <c r="AK142" s="20"/>
      <c r="AL142" s="20">
        <f t="shared" si="32"/>
        <v>0</v>
      </c>
      <c r="AM142" s="117">
        <f t="shared" si="31"/>
        <v>0</v>
      </c>
      <c r="AN142" s="20"/>
    </row>
    <row r="143" spans="11:44">
      <c r="R143" s="32">
        <f>R141-R142</f>
        <v>17060</v>
      </c>
      <c r="S143" s="1">
        <f>R143*S141/R141</f>
        <v>8381047.7908351813</v>
      </c>
      <c r="V143" s="96"/>
      <c r="W143"/>
      <c r="AH143" s="20"/>
      <c r="AI143" s="117"/>
      <c r="AJ143" s="117"/>
      <c r="AK143" s="20"/>
      <c r="AL143" s="20">
        <f t="shared" si="32"/>
        <v>0</v>
      </c>
      <c r="AM143" s="117">
        <f t="shared" si="31"/>
        <v>0</v>
      </c>
      <c r="AN143" s="20"/>
    </row>
    <row r="144" spans="11:44">
      <c r="V144" s="96"/>
      <c r="W144"/>
      <c r="AH144" s="20"/>
      <c r="AI144" s="117"/>
      <c r="AJ144" s="117"/>
      <c r="AK144" s="20"/>
      <c r="AL144" s="20">
        <f t="shared" si="32"/>
        <v>0</v>
      </c>
      <c r="AM144" s="117">
        <f t="shared" si="31"/>
        <v>0</v>
      </c>
      <c r="AN144" s="20"/>
    </row>
    <row r="145" spans="16:44">
      <c r="Q145" s="99" t="s">
        <v>4466</v>
      </c>
      <c r="R145" s="99" t="s">
        <v>4468</v>
      </c>
      <c r="S145" s="99"/>
      <c r="T145" s="99" t="s">
        <v>4469</v>
      </c>
      <c r="U145" s="99"/>
      <c r="V145" s="99"/>
      <c r="W145" s="99" t="s">
        <v>4587</v>
      </c>
      <c r="AH145" s="99"/>
      <c r="AI145" s="113"/>
      <c r="AJ145" s="113"/>
      <c r="AK145" s="99"/>
      <c r="AL145" s="99">
        <f t="shared" si="32"/>
        <v>0</v>
      </c>
      <c r="AM145" s="117">
        <f t="shared" si="31"/>
        <v>0</v>
      </c>
      <c r="AN145" s="99"/>
    </row>
    <row r="146" spans="16:44">
      <c r="P146" s="114"/>
      <c r="Q146" s="113">
        <v>1000</v>
      </c>
      <c r="R146" s="99">
        <v>0.25</v>
      </c>
      <c r="S146" s="99"/>
      <c r="T146" s="99">
        <f>1-R146</f>
        <v>0.75</v>
      </c>
      <c r="U146" s="99"/>
      <c r="V146" s="99"/>
      <c r="W146" s="99"/>
      <c r="AH146" s="99"/>
      <c r="AI146" s="113"/>
      <c r="AJ146" s="113"/>
      <c r="AK146" s="99"/>
      <c r="AL146" s="99">
        <f t="shared" si="32"/>
        <v>0</v>
      </c>
      <c r="AM146" s="117">
        <f t="shared" si="31"/>
        <v>0</v>
      </c>
      <c r="AN146" s="99"/>
      <c r="AR146" t="s">
        <v>25</v>
      </c>
    </row>
    <row r="147" spans="16:44">
      <c r="P147">
        <f>2561+R149</f>
        <v>1478346</v>
      </c>
      <c r="Q147" s="168" t="s">
        <v>4453</v>
      </c>
      <c r="R147" s="168" t="s">
        <v>4471</v>
      </c>
      <c r="S147" s="168" t="s">
        <v>4473</v>
      </c>
      <c r="T147" s="168" t="s">
        <v>180</v>
      </c>
      <c r="U147" s="168" t="s">
        <v>4467</v>
      </c>
      <c r="V147" s="56" t="s">
        <v>4470</v>
      </c>
      <c r="W147" s="99"/>
      <c r="X147" s="115"/>
      <c r="AH147" s="99"/>
      <c r="AI147" s="113"/>
      <c r="AJ147" s="113"/>
      <c r="AK147" s="99"/>
      <c r="AL147" s="99">
        <f t="shared" si="32"/>
        <v>0</v>
      </c>
      <c r="AM147" s="117">
        <f t="shared" si="31"/>
        <v>0</v>
      </c>
      <c r="AN147" s="99"/>
    </row>
    <row r="148" spans="16:44">
      <c r="P148" s="114"/>
      <c r="Q148" s="168" t="s">
        <v>751</v>
      </c>
      <c r="R148" s="56">
        <v>1673381</v>
      </c>
      <c r="S148" s="113">
        <f>R148*$T$210</f>
        <v>425549668.396685</v>
      </c>
      <c r="T148" s="168" t="s">
        <v>4465</v>
      </c>
      <c r="U148" s="168">
        <f>$Q$146*$T$146*S148/$R$172</f>
        <v>391.34309802693861</v>
      </c>
      <c r="V148" s="95">
        <f>S148+U148</f>
        <v>425550059.73978305</v>
      </c>
      <c r="W148" s="99">
        <f>R148*100/U207</f>
        <v>52.179079736925146</v>
      </c>
      <c r="X148" s="223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Q149" s="168" t="s">
        <v>4455</v>
      </c>
      <c r="R149" s="56">
        <v>1475785</v>
      </c>
      <c r="S149" s="113">
        <f>R149*$T$210</f>
        <v>375299957.01803821</v>
      </c>
      <c r="T149" s="168" t="s">
        <v>4465</v>
      </c>
      <c r="U149" s="168">
        <f>$Q$146*$T$146*S149/$R$172+Q146*R146</f>
        <v>595.13256330846684</v>
      </c>
      <c r="V149" s="95">
        <f>S149+U149</f>
        <v>375300552.15060151</v>
      </c>
      <c r="W149" s="99">
        <f>R149*100/U207</f>
        <v>46.017675107795583</v>
      </c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 t="s">
        <v>4454</v>
      </c>
      <c r="R150" s="56">
        <v>57830</v>
      </c>
      <c r="S150" s="113">
        <f>R150*$T$210</f>
        <v>14706475.885276752</v>
      </c>
      <c r="T150" s="168" t="s">
        <v>4465</v>
      </c>
      <c r="U150" s="168">
        <f>$Q$146*$T$146*S150/$R$172</f>
        <v>13.524338664594531</v>
      </c>
      <c r="V150" s="95">
        <f>S150+U150</f>
        <v>14706489.409615416</v>
      </c>
      <c r="W150" s="99">
        <f>R150*100/U207</f>
        <v>1.8032451552792708</v>
      </c>
      <c r="X150" s="115"/>
      <c r="AH150" s="99"/>
      <c r="AI150" s="99"/>
      <c r="AJ150" s="99"/>
      <c r="AK150" s="99"/>
      <c r="AL150" s="99"/>
      <c r="AM150" s="99"/>
      <c r="AN150" s="99"/>
    </row>
    <row r="151" spans="16:44">
      <c r="Q151" s="168"/>
      <c r="R151" s="56"/>
      <c r="S151" s="168"/>
      <c r="T151" s="168"/>
      <c r="U151" s="168"/>
      <c r="V151" s="99"/>
      <c r="W151" s="99"/>
      <c r="X151" s="115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168"/>
      <c r="R152" s="56"/>
      <c r="S152" s="168"/>
      <c r="T152" s="168"/>
      <c r="U152" s="168"/>
      <c r="V152" s="168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168"/>
      <c r="R153" s="168"/>
      <c r="S153" s="168"/>
      <c r="T153" s="168"/>
      <c r="U153" s="168"/>
      <c r="V153" s="168"/>
      <c r="W153" s="99"/>
      <c r="X153" s="96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Q154" s="99"/>
      <c r="R154" s="99"/>
      <c r="S154" s="99"/>
      <c r="T154" s="99" t="s">
        <v>25</v>
      </c>
      <c r="U154" s="99"/>
      <c r="V154" s="99"/>
      <c r="W154" s="99"/>
      <c r="X154" s="96"/>
      <c r="AI154" t="s">
        <v>4064</v>
      </c>
      <c r="AJ154" s="114">
        <f>SUM(N42:N55)</f>
        <v>565498096.79999995</v>
      </c>
    </row>
    <row r="155" spans="16:44">
      <c r="Q155" s="99"/>
      <c r="R155" s="99"/>
      <c r="S155" s="99"/>
      <c r="T155" s="99"/>
      <c r="U155" s="99"/>
      <c r="V155" s="99"/>
      <c r="W155" s="99"/>
      <c r="X155" s="96"/>
      <c r="AI155" t="s">
        <v>4136</v>
      </c>
      <c r="AJ155" s="114">
        <f>AJ154-AJ148</f>
        <v>26172010.799999952</v>
      </c>
      <c r="AM155" t="s">
        <v>25</v>
      </c>
    </row>
    <row r="156" spans="16:44">
      <c r="P156" s="114"/>
      <c r="Q156" s="99"/>
      <c r="R156" s="99"/>
      <c r="S156" s="99"/>
      <c r="T156" s="99"/>
      <c r="U156" s="99"/>
      <c r="V156" s="99"/>
      <c r="W156" s="99"/>
      <c r="X156" s="96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6"/>
      <c r="V157" s="96"/>
      <c r="X157" s="115"/>
      <c r="AI157" t="s">
        <v>4065</v>
      </c>
      <c r="AJ157" s="114">
        <f>AJ154-AJ153</f>
        <v>-6193989.1967742443</v>
      </c>
      <c r="AN157" t="s">
        <v>25</v>
      </c>
    </row>
    <row r="158" spans="16:44">
      <c r="Q158" s="96"/>
      <c r="R158" s="96"/>
      <c r="S158" s="96"/>
      <c r="T158" s="96"/>
      <c r="V158" s="96"/>
      <c r="AM158" t="s">
        <v>25</v>
      </c>
    </row>
    <row r="159" spans="16:44">
      <c r="Q159" s="96"/>
      <c r="R159" s="96"/>
      <c r="S159" s="96"/>
      <c r="T159" s="96" t="s">
        <v>25</v>
      </c>
      <c r="V159" s="96"/>
      <c r="AJ159" t="s">
        <v>25</v>
      </c>
    </row>
    <row r="160" spans="16:44">
      <c r="Q160" s="96"/>
      <c r="R160" s="96"/>
      <c r="S160" s="96"/>
      <c r="T160" s="96"/>
      <c r="V160" s="96"/>
    </row>
    <row r="161" spans="16:40">
      <c r="Q161" s="96"/>
      <c r="R161" s="96"/>
      <c r="S161" s="96"/>
      <c r="T161" s="99" t="s">
        <v>180</v>
      </c>
      <c r="U161" s="99" t="s">
        <v>4489</v>
      </c>
      <c r="V161" s="99" t="s">
        <v>4490</v>
      </c>
      <c r="W161" s="99" t="s">
        <v>4500</v>
      </c>
      <c r="X161" s="99" t="s">
        <v>8</v>
      </c>
    </row>
    <row r="162" spans="16:40">
      <c r="P162" s="114"/>
      <c r="Q162" s="36" t="s">
        <v>4583</v>
      </c>
      <c r="R162" s="95">
        <f>SUM(N44:N55)</f>
        <v>565497119.79999995</v>
      </c>
      <c r="T162" s="113" t="s">
        <v>4465</v>
      </c>
      <c r="U162" s="56">
        <v>1000000</v>
      </c>
      <c r="V162" s="113">
        <v>239.024</v>
      </c>
      <c r="W162" s="113">
        <f t="shared" ref="W162:W205" si="33">U162*V162</f>
        <v>239024000</v>
      </c>
      <c r="X162" s="99"/>
    </row>
    <row r="163" spans="16:40">
      <c r="Q163" s="99" t="s">
        <v>4456</v>
      </c>
      <c r="R163" s="95">
        <f>SUM(N21:N25)</f>
        <v>244751244.10000002</v>
      </c>
      <c r="T163" s="168" t="s">
        <v>4447</v>
      </c>
      <c r="U163" s="56">
        <v>5904</v>
      </c>
      <c r="V163" s="113">
        <v>237.148</v>
      </c>
      <c r="W163" s="113">
        <f t="shared" si="33"/>
        <v>1400121.7919999999</v>
      </c>
      <c r="X163" s="99" t="s">
        <v>751</v>
      </c>
    </row>
    <row r="164" spans="16:40">
      <c r="Q164" s="99" t="s">
        <v>4457</v>
      </c>
      <c r="R164" s="95">
        <f>SUM(N28:N31)</f>
        <v>4133336.4000000004</v>
      </c>
      <c r="T164" s="168" t="s">
        <v>4232</v>
      </c>
      <c r="U164" s="168">
        <v>1000</v>
      </c>
      <c r="V164" s="113">
        <v>247.393</v>
      </c>
      <c r="W164" s="113">
        <f t="shared" si="33"/>
        <v>247393</v>
      </c>
      <c r="X164" s="99" t="s">
        <v>751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4458</v>
      </c>
      <c r="R165" s="95">
        <f>N42</f>
        <v>977</v>
      </c>
      <c r="T165" s="168" t="s">
        <v>4502</v>
      </c>
      <c r="U165" s="168">
        <v>8071</v>
      </c>
      <c r="V165" s="113">
        <v>247.797</v>
      </c>
      <c r="W165" s="113">
        <f t="shared" si="33"/>
        <v>1999969.5870000001</v>
      </c>
      <c r="X165" s="99" t="s">
        <v>4454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4459</v>
      </c>
      <c r="R166" s="95">
        <f>N20</f>
        <v>357</v>
      </c>
      <c r="T166" s="168" t="s">
        <v>4502</v>
      </c>
      <c r="U166" s="168">
        <v>53672</v>
      </c>
      <c r="V166" s="113">
        <v>247.797</v>
      </c>
      <c r="W166" s="113">
        <f t="shared" si="33"/>
        <v>13299760.584000001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4">AK166+AL167</f>
        <v>212</v>
      </c>
      <c r="AM166" s="99">
        <f t="shared" ref="AM166:AM194" si="35">AJ166*AL166</f>
        <v>364817444</v>
      </c>
      <c r="AN166" s="99" t="s">
        <v>4314</v>
      </c>
    </row>
    <row r="167" spans="16:40">
      <c r="Q167" s="99" t="s">
        <v>4460</v>
      </c>
      <c r="R167" s="95">
        <f>N27</f>
        <v>2881</v>
      </c>
      <c r="T167" s="168" t="s">
        <v>4512</v>
      </c>
      <c r="U167" s="168">
        <v>4099</v>
      </c>
      <c r="V167" s="113">
        <v>243.93</v>
      </c>
      <c r="W167" s="113">
        <f t="shared" si="33"/>
        <v>999869.07000000007</v>
      </c>
      <c r="X167" s="99" t="s">
        <v>4454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4"/>
        <v>161</v>
      </c>
      <c r="AM167" s="99">
        <f t="shared" si="35"/>
        <v>24150000</v>
      </c>
      <c r="AN167" s="99"/>
    </row>
    <row r="168" spans="16:40">
      <c r="Q168" s="99" t="s">
        <v>4472</v>
      </c>
      <c r="R168" s="95">
        <v>677753</v>
      </c>
      <c r="T168" s="168" t="s">
        <v>4512</v>
      </c>
      <c r="U168" s="168">
        <v>9301</v>
      </c>
      <c r="V168" s="113">
        <v>243.93</v>
      </c>
      <c r="W168" s="113">
        <f t="shared" si="33"/>
        <v>2268792.9300000002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4"/>
        <v>158</v>
      </c>
      <c r="AM168" s="99">
        <f t="shared" si="35"/>
        <v>-15010000</v>
      </c>
      <c r="AN168" s="99"/>
    </row>
    <row r="169" spans="16:40">
      <c r="Q169" s="99" t="s">
        <v>4708</v>
      </c>
      <c r="R169" s="95">
        <v>8469</v>
      </c>
      <c r="T169" s="168" t="s">
        <v>4519</v>
      </c>
      <c r="U169" s="168">
        <v>8334</v>
      </c>
      <c r="V169" s="113">
        <v>239.97</v>
      </c>
      <c r="W169" s="113">
        <f t="shared" si="33"/>
        <v>1999909.98</v>
      </c>
      <c r="X169" s="99" t="s">
        <v>4454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4"/>
        <v>150</v>
      </c>
      <c r="AM169" s="99">
        <f t="shared" si="35"/>
        <v>472500000</v>
      </c>
      <c r="AN169" s="99"/>
    </row>
    <row r="170" spans="16:40">
      <c r="Q170" s="99" t="s">
        <v>4764</v>
      </c>
      <c r="R170" s="95">
        <v>500000</v>
      </c>
      <c r="T170" s="168" t="s">
        <v>4231</v>
      </c>
      <c r="U170" s="168">
        <v>29041</v>
      </c>
      <c r="V170" s="113">
        <v>233.45</v>
      </c>
      <c r="W170" s="113">
        <f t="shared" si="33"/>
        <v>6779621.4499999993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4"/>
        <v>134</v>
      </c>
      <c r="AM170" s="99">
        <f t="shared" si="35"/>
        <v>-8710000</v>
      </c>
      <c r="AN170" s="99"/>
    </row>
    <row r="171" spans="16:40">
      <c r="Q171" s="99" t="s">
        <v>4742</v>
      </c>
      <c r="R171" s="95">
        <v>-16036</v>
      </c>
      <c r="S171" s="115"/>
      <c r="T171" s="168" t="s">
        <v>994</v>
      </c>
      <c r="U171" s="168">
        <v>12337</v>
      </c>
      <c r="V171" s="113">
        <v>243.16300000000001</v>
      </c>
      <c r="W171" s="113">
        <f t="shared" si="33"/>
        <v>2999901.9310000003</v>
      </c>
      <c r="X171" s="99" t="s">
        <v>4454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4"/>
        <v>133</v>
      </c>
      <c r="AM171" s="99">
        <f t="shared" si="35"/>
        <v>-12635000</v>
      </c>
      <c r="AN171" s="99"/>
    </row>
    <row r="172" spans="16:40">
      <c r="Q172" s="99" t="s">
        <v>4464</v>
      </c>
      <c r="R172" s="95">
        <f>SUM(R162:R171)</f>
        <v>815556101.29999995</v>
      </c>
      <c r="S172" s="122"/>
      <c r="T172" s="168" t="s">
        <v>4607</v>
      </c>
      <c r="U172" s="168">
        <v>-16118</v>
      </c>
      <c r="V172" s="113">
        <v>248.17</v>
      </c>
      <c r="W172" s="113">
        <f t="shared" si="33"/>
        <v>-4000004.0599999996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4"/>
        <v>127</v>
      </c>
      <c r="AM172" s="99">
        <f t="shared" si="35"/>
        <v>29464000</v>
      </c>
      <c r="AN172" s="99"/>
    </row>
    <row r="173" spans="16:40">
      <c r="Q173" s="96"/>
      <c r="S173" s="115"/>
      <c r="T173" s="168" t="s">
        <v>4638</v>
      </c>
      <c r="U173" s="168">
        <v>101681</v>
      </c>
      <c r="V173" s="113">
        <v>246.5711</v>
      </c>
      <c r="W173" s="113">
        <f t="shared" si="33"/>
        <v>25071596.019099999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4"/>
        <v>120</v>
      </c>
      <c r="AM173" s="99">
        <f t="shared" si="35"/>
        <v>1560000000</v>
      </c>
      <c r="AN173" s="99"/>
    </row>
    <row r="174" spans="16:40">
      <c r="Q174" s="96"/>
      <c r="R174" s="183"/>
      <c r="S174" s="115"/>
      <c r="T174" s="168" t="s">
        <v>4644</v>
      </c>
      <c r="U174" s="168">
        <v>66606</v>
      </c>
      <c r="V174" s="113">
        <v>251.131</v>
      </c>
      <c r="W174" s="113">
        <f t="shared" si="33"/>
        <v>16726831.386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4"/>
        <v>118</v>
      </c>
      <c r="AM174" s="99">
        <f t="shared" si="35"/>
        <v>1180000000</v>
      </c>
      <c r="AN174" s="99"/>
    </row>
    <row r="175" spans="16:40">
      <c r="Q175" s="96"/>
      <c r="R175" s="183"/>
      <c r="T175" s="168" t="s">
        <v>4651</v>
      </c>
      <c r="U175" s="168">
        <v>172025</v>
      </c>
      <c r="V175" s="113">
        <v>245.52809999999999</v>
      </c>
      <c r="W175" s="113">
        <f t="shared" si="33"/>
        <v>42236971.402499996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4"/>
        <v>115</v>
      </c>
      <c r="AM175" s="99">
        <f t="shared" si="35"/>
        <v>391000000</v>
      </c>
      <c r="AN175" s="99"/>
    </row>
    <row r="176" spans="16:40">
      <c r="Q176" s="96"/>
      <c r="R176" s="115"/>
      <c r="T176" s="168" t="s">
        <v>4651</v>
      </c>
      <c r="U176" s="168">
        <v>189227</v>
      </c>
      <c r="V176" s="113">
        <v>245.52809999999999</v>
      </c>
      <c r="W176" s="113">
        <f t="shared" si="33"/>
        <v>46460545.778700002</v>
      </c>
      <c r="X176" s="99" t="s">
        <v>751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106</v>
      </c>
      <c r="AM176" s="99">
        <f t="shared" si="35"/>
        <v>-926070484</v>
      </c>
      <c r="AN176" s="99"/>
    </row>
    <row r="177" spans="17:44">
      <c r="T177" s="168" t="s">
        <v>4654</v>
      </c>
      <c r="U177" s="168">
        <v>79720</v>
      </c>
      <c r="V177" s="113">
        <v>246.6568</v>
      </c>
      <c r="W177" s="113">
        <f t="shared" si="33"/>
        <v>19663480.096000001</v>
      </c>
      <c r="X177" s="99" t="s">
        <v>452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6">AK177+AL178</f>
        <v>105</v>
      </c>
      <c r="AM177" s="99">
        <f t="shared" si="35"/>
        <v>58275000</v>
      </c>
      <c r="AN177" s="99"/>
    </row>
    <row r="178" spans="17:44">
      <c r="Q178" s="99" t="s">
        <v>4454</v>
      </c>
      <c r="R178" s="99"/>
      <c r="T178" s="168" t="s">
        <v>4654</v>
      </c>
      <c r="U178" s="168">
        <v>79720</v>
      </c>
      <c r="V178" s="113">
        <v>246.6568</v>
      </c>
      <c r="W178" s="113">
        <f t="shared" si="33"/>
        <v>19663480.096000001</v>
      </c>
      <c r="X178" s="99" t="s">
        <v>751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6"/>
        <v>100</v>
      </c>
      <c r="AM178" s="99">
        <f t="shared" si="35"/>
        <v>-44830800</v>
      </c>
      <c r="AN178" s="99"/>
    </row>
    <row r="179" spans="17:44">
      <c r="Q179" s="36" t="s">
        <v>180</v>
      </c>
      <c r="R179" s="99" t="s">
        <v>267</v>
      </c>
      <c r="T179" s="168" t="s">
        <v>4682</v>
      </c>
      <c r="U179" s="168">
        <v>17769</v>
      </c>
      <c r="V179" s="113">
        <v>246.17877999999999</v>
      </c>
      <c r="W179" s="113">
        <f t="shared" si="33"/>
        <v>4374350.7418200001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6"/>
        <v>94</v>
      </c>
      <c r="AM179" s="99">
        <f t="shared" si="35"/>
        <v>3123150</v>
      </c>
      <c r="AN179" s="99"/>
    </row>
    <row r="180" spans="17:44">
      <c r="Q180" s="99" t="s">
        <v>4447</v>
      </c>
      <c r="R180" s="95">
        <v>3000000</v>
      </c>
      <c r="T180" s="168" t="s">
        <v>4682</v>
      </c>
      <c r="U180" s="168">
        <v>17769</v>
      </c>
      <c r="V180" s="113">
        <v>246.17877999999999</v>
      </c>
      <c r="W180" s="113">
        <f t="shared" si="33"/>
        <v>4374350.7418200001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6"/>
        <v>94</v>
      </c>
      <c r="AM180" s="149">
        <f t="shared" si="35"/>
        <v>385261162</v>
      </c>
      <c r="AN180" s="149" t="s">
        <v>657</v>
      </c>
      <c r="AR180" t="s">
        <v>25</v>
      </c>
    </row>
    <row r="181" spans="17:44">
      <c r="Q181" s="99" t="s">
        <v>4502</v>
      </c>
      <c r="R181" s="95">
        <v>2000000</v>
      </c>
      <c r="T181" s="168" t="s">
        <v>4688</v>
      </c>
      <c r="U181" s="168">
        <v>12438</v>
      </c>
      <c r="V181" s="113">
        <v>241.20465999999999</v>
      </c>
      <c r="W181" s="113">
        <f t="shared" si="33"/>
        <v>3000103.5610799999</v>
      </c>
      <c r="X181" s="99" t="s">
        <v>4454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6"/>
        <v>92</v>
      </c>
      <c r="AM181" s="149">
        <f t="shared" si="35"/>
        <v>-92000000</v>
      </c>
      <c r="AN181" s="149" t="s">
        <v>657</v>
      </c>
    </row>
    <row r="182" spans="17:44">
      <c r="Q182" s="99" t="s">
        <v>4512</v>
      </c>
      <c r="R182" s="95">
        <v>1000000</v>
      </c>
      <c r="T182" s="168" t="s">
        <v>4698</v>
      </c>
      <c r="U182" s="168">
        <v>27363</v>
      </c>
      <c r="V182" s="113">
        <v>239.3886</v>
      </c>
      <c r="W182" s="113">
        <f t="shared" si="33"/>
        <v>6550390.2617999995</v>
      </c>
      <c r="X182" s="99" t="s">
        <v>751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6"/>
        <v>85</v>
      </c>
      <c r="AM182" s="149">
        <f t="shared" si="35"/>
        <v>63750000</v>
      </c>
      <c r="AN182" s="149" t="s">
        <v>657</v>
      </c>
    </row>
    <row r="183" spans="17:44">
      <c r="Q183" s="99" t="s">
        <v>4519</v>
      </c>
      <c r="R183" s="95">
        <v>2000000</v>
      </c>
      <c r="T183" s="168" t="s">
        <v>4698</v>
      </c>
      <c r="U183" s="168">
        <v>27363</v>
      </c>
      <c r="V183" s="113">
        <v>239.3886</v>
      </c>
      <c r="W183" s="113">
        <f t="shared" si="33"/>
        <v>6550390.2617999995</v>
      </c>
      <c r="X183" s="99" t="s">
        <v>452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6"/>
        <v>84</v>
      </c>
      <c r="AM183" s="197">
        <f t="shared" si="35"/>
        <v>-50748768</v>
      </c>
      <c r="AN183" s="197" t="s">
        <v>657</v>
      </c>
    </row>
    <row r="184" spans="17:44">
      <c r="Q184" s="99" t="s">
        <v>994</v>
      </c>
      <c r="R184" s="95">
        <v>3000000</v>
      </c>
      <c r="T184" s="215" t="s">
        <v>4702</v>
      </c>
      <c r="U184" s="215">
        <v>27437</v>
      </c>
      <c r="V184" s="113">
        <v>242.4015</v>
      </c>
      <c r="W184" s="113">
        <f t="shared" si="33"/>
        <v>6650769.9555000002</v>
      </c>
      <c r="X184" s="99" t="s">
        <v>751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6"/>
        <v>84</v>
      </c>
      <c r="AM184" s="99">
        <f t="shared" si="35"/>
        <v>-49314972</v>
      </c>
      <c r="AN184" s="99"/>
    </row>
    <row r="185" spans="17:44">
      <c r="Q185" s="99" t="s">
        <v>4688</v>
      </c>
      <c r="R185" s="95">
        <v>3000000</v>
      </c>
      <c r="T185" s="215" t="s">
        <v>4702</v>
      </c>
      <c r="U185" s="215">
        <v>29104</v>
      </c>
      <c r="V185" s="113">
        <v>242.4015</v>
      </c>
      <c r="W185" s="113">
        <f t="shared" si="33"/>
        <v>7054853.2560000001</v>
      </c>
      <c r="X185" s="99" t="s">
        <v>452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6"/>
        <v>80</v>
      </c>
      <c r="AM185" s="197">
        <f t="shared" si="35"/>
        <v>-60348080</v>
      </c>
      <c r="AN185" s="197" t="s">
        <v>657</v>
      </c>
    </row>
    <row r="186" spans="17:44">
      <c r="Q186" s="99"/>
      <c r="R186" s="95"/>
      <c r="T186" s="219" t="s">
        <v>4746</v>
      </c>
      <c r="U186" s="219">
        <v>8991</v>
      </c>
      <c r="V186" s="113">
        <v>238.64867000000001</v>
      </c>
      <c r="W186" s="113">
        <f t="shared" si="33"/>
        <v>2145690.19197</v>
      </c>
      <c r="X186" s="99" t="s">
        <v>751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6"/>
        <v>80</v>
      </c>
      <c r="AM186" s="99">
        <f t="shared" si="35"/>
        <v>-15169520</v>
      </c>
      <c r="AN186" s="99"/>
    </row>
    <row r="187" spans="17:44">
      <c r="Q187" s="99"/>
      <c r="R187" s="95"/>
      <c r="T187" s="219" t="s">
        <v>4746</v>
      </c>
      <c r="U187" s="219">
        <v>8991</v>
      </c>
      <c r="V187" s="113">
        <v>238.64867000000001</v>
      </c>
      <c r="W187" s="113">
        <f t="shared" si="33"/>
        <v>2145690.19197</v>
      </c>
      <c r="X187" s="99" t="s">
        <v>452</v>
      </c>
      <c r="Z187" t="s">
        <v>25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6"/>
        <v>65</v>
      </c>
      <c r="AM187" s="197">
        <f t="shared" si="35"/>
        <v>461500</v>
      </c>
      <c r="AN187" s="197" t="s">
        <v>657</v>
      </c>
    </row>
    <row r="188" spans="17:44">
      <c r="Q188" s="99"/>
      <c r="R188" s="95">
        <f>SUM(R180:R186)</f>
        <v>14000000</v>
      </c>
      <c r="T188" s="219" t="s">
        <v>4763</v>
      </c>
      <c r="U188" s="219">
        <v>18170</v>
      </c>
      <c r="V188" s="113">
        <v>240.48475999999999</v>
      </c>
      <c r="W188" s="113">
        <f t="shared" si="33"/>
        <v>4369608.0892000003</v>
      </c>
      <c r="X188" s="99" t="s">
        <v>751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6"/>
        <v>65</v>
      </c>
      <c r="AM188" s="20">
        <f t="shared" si="35"/>
        <v>-9613630</v>
      </c>
      <c r="AN188" s="20"/>
    </row>
    <row r="189" spans="17:44">
      <c r="Q189" s="99"/>
      <c r="R189" s="99" t="s">
        <v>6</v>
      </c>
      <c r="S189" t="s">
        <v>25</v>
      </c>
      <c r="T189" s="219" t="s">
        <v>4763</v>
      </c>
      <c r="U189" s="219">
        <v>18170</v>
      </c>
      <c r="V189" s="113">
        <v>240.48475999999999</v>
      </c>
      <c r="W189" s="113">
        <f t="shared" si="33"/>
        <v>4369608.0892000003</v>
      </c>
      <c r="X189" s="99" t="s">
        <v>452</v>
      </c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6"/>
        <v>62</v>
      </c>
      <c r="AM189" s="197">
        <f t="shared" si="35"/>
        <v>-2306400</v>
      </c>
      <c r="AN189" s="149" t="s">
        <v>657</v>
      </c>
    </row>
    <row r="190" spans="17:44">
      <c r="T190" s="219" t="s">
        <v>4768</v>
      </c>
      <c r="U190" s="219">
        <v>36797</v>
      </c>
      <c r="V190" s="113">
        <v>239.0822</v>
      </c>
      <c r="W190" s="113">
        <f t="shared" si="33"/>
        <v>8797507.7134000007</v>
      </c>
      <c r="X190" s="99" t="s">
        <v>751</v>
      </c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6"/>
        <v>58</v>
      </c>
      <c r="AM190" s="20">
        <f t="shared" si="35"/>
        <v>-21594908</v>
      </c>
      <c r="AN190" s="99"/>
    </row>
    <row r="191" spans="17:44">
      <c r="Q191" s="96"/>
      <c r="R191" s="96"/>
      <c r="T191" s="219" t="s">
        <v>4768</v>
      </c>
      <c r="U191" s="219">
        <v>36797</v>
      </c>
      <c r="V191" s="113">
        <v>239.0822</v>
      </c>
      <c r="W191" s="113">
        <f t="shared" si="33"/>
        <v>8797507.7134000007</v>
      </c>
      <c r="X191" s="99" t="s">
        <v>452</v>
      </c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6"/>
        <v>37</v>
      </c>
      <c r="AM191" s="20">
        <f t="shared" si="35"/>
        <v>8697294</v>
      </c>
      <c r="AN191" s="99"/>
    </row>
    <row r="192" spans="17:44">
      <c r="Q192" s="96"/>
      <c r="R192" s="96"/>
      <c r="T192" s="219" t="s">
        <v>4782</v>
      </c>
      <c r="U192" s="219">
        <v>28066</v>
      </c>
      <c r="V192" s="113">
        <v>237.56970000000001</v>
      </c>
      <c r="W192" s="113">
        <f t="shared" si="33"/>
        <v>6667631.2002000008</v>
      </c>
      <c r="X192" s="99" t="s">
        <v>751</v>
      </c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6"/>
        <v>37</v>
      </c>
      <c r="AM192" s="149">
        <f t="shared" si="35"/>
        <v>8697294</v>
      </c>
      <c r="AN192" s="149" t="s">
        <v>657</v>
      </c>
    </row>
    <row r="193" spans="17:44">
      <c r="T193" s="219" t="s">
        <v>4782</v>
      </c>
      <c r="U193" s="219">
        <v>28066</v>
      </c>
      <c r="V193" s="113">
        <v>237.56970000000001</v>
      </c>
      <c r="W193" s="113">
        <f t="shared" si="33"/>
        <v>6667631.2002000008</v>
      </c>
      <c r="X193" s="99" t="s">
        <v>452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6"/>
        <v>28</v>
      </c>
      <c r="AM193" s="149">
        <f t="shared" si="35"/>
        <v>12600000</v>
      </c>
      <c r="AN193" s="149" t="s">
        <v>657</v>
      </c>
    </row>
    <row r="194" spans="17:44">
      <c r="Q194" s="99" t="s">
        <v>751</v>
      </c>
      <c r="R194" s="99"/>
      <c r="T194" s="219" t="s">
        <v>3684</v>
      </c>
      <c r="U194" s="219">
        <v>37457</v>
      </c>
      <c r="V194" s="113">
        <v>239.77</v>
      </c>
      <c r="W194" s="113">
        <f t="shared" si="33"/>
        <v>8981064.8900000006</v>
      </c>
      <c r="X194" s="99" t="s">
        <v>751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28</v>
      </c>
      <c r="AM194" s="20">
        <f t="shared" si="35"/>
        <v>12600000</v>
      </c>
      <c r="AN194" s="20"/>
    </row>
    <row r="195" spans="17:44">
      <c r="Q195" s="99" t="s">
        <v>4447</v>
      </c>
      <c r="R195" s="95">
        <v>172908000</v>
      </c>
      <c r="T195" s="219" t="s">
        <v>3684</v>
      </c>
      <c r="U195" s="219">
        <v>37457</v>
      </c>
      <c r="V195" s="113">
        <v>239.77</v>
      </c>
      <c r="W195" s="113">
        <f t="shared" si="33"/>
        <v>8981064.8900000006</v>
      </c>
      <c r="X195" s="99" t="s">
        <v>452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7">AK195+AL196</f>
        <v>6</v>
      </c>
      <c r="AM195" s="149">
        <f t="shared" ref="AM195:AM198" si="38">AJ195*AL195</f>
        <v>1800000</v>
      </c>
      <c r="AN195" s="149"/>
    </row>
    <row r="196" spans="17:44" ht="30">
      <c r="Q196" s="99" t="s">
        <v>4488</v>
      </c>
      <c r="R196" s="95">
        <v>1400000</v>
      </c>
      <c r="T196" s="219" t="s">
        <v>4796</v>
      </c>
      <c r="U196" s="219">
        <v>38412</v>
      </c>
      <c r="V196" s="113">
        <v>239.03</v>
      </c>
      <c r="W196" s="113">
        <f t="shared" si="33"/>
        <v>9181620.3599999994</v>
      </c>
      <c r="X196" s="99" t="s">
        <v>751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7"/>
        <v>6</v>
      </c>
      <c r="AM196" s="121">
        <f t="shared" si="38"/>
        <v>1733616</v>
      </c>
      <c r="AN196" s="210" t="s">
        <v>4784</v>
      </c>
    </row>
    <row r="197" spans="17:44">
      <c r="Q197" s="99" t="s">
        <v>4232</v>
      </c>
      <c r="R197" s="95">
        <v>247393</v>
      </c>
      <c r="T197" s="219" t="s">
        <v>4796</v>
      </c>
      <c r="U197" s="219">
        <v>38412</v>
      </c>
      <c r="V197" s="113">
        <v>239.03</v>
      </c>
      <c r="W197" s="113">
        <f t="shared" si="33"/>
        <v>9181620.3599999994</v>
      </c>
      <c r="X197" s="99" t="s">
        <v>452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7"/>
        <v>3</v>
      </c>
      <c r="AM197" s="121">
        <f t="shared" si="38"/>
        <v>53887473</v>
      </c>
      <c r="AN197" s="121" t="s">
        <v>4789</v>
      </c>
      <c r="AQ197" t="s">
        <v>25</v>
      </c>
    </row>
    <row r="198" spans="17:44">
      <c r="Q198" s="99" t="s">
        <v>4231</v>
      </c>
      <c r="R198" s="95">
        <v>6780000</v>
      </c>
      <c r="T198" s="219" t="s">
        <v>4807</v>
      </c>
      <c r="U198" s="219">
        <v>49555</v>
      </c>
      <c r="V198" s="113">
        <v>238.345</v>
      </c>
      <c r="W198" s="113">
        <f t="shared" si="33"/>
        <v>11811186.475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38"/>
        <v>36727022</v>
      </c>
      <c r="AN198" s="121" t="s">
        <v>4789</v>
      </c>
    </row>
    <row r="199" spans="17:44">
      <c r="Q199" s="99" t="s">
        <v>4607</v>
      </c>
      <c r="R199" s="95">
        <v>-4000000</v>
      </c>
      <c r="T199" s="219" t="s">
        <v>4807</v>
      </c>
      <c r="U199" s="219">
        <v>49555</v>
      </c>
      <c r="V199" s="113">
        <v>238.345</v>
      </c>
      <c r="W199" s="113">
        <f t="shared" si="33"/>
        <v>11811186.475</v>
      </c>
      <c r="X199" s="99" t="s">
        <v>452</v>
      </c>
      <c r="AH199" s="121">
        <v>35</v>
      </c>
      <c r="AI199" s="121" t="s">
        <v>4796</v>
      </c>
      <c r="AJ199" s="79">
        <v>23622417</v>
      </c>
      <c r="AK199" s="121">
        <v>5</v>
      </c>
      <c r="AL199" s="121">
        <f t="shared" ref="AL199:AL205" si="39">AK199+AL202</f>
        <v>5</v>
      </c>
      <c r="AM199" s="121">
        <f t="shared" ref="AM199:AM205" si="40">AJ199*AL199</f>
        <v>118112085</v>
      </c>
      <c r="AN199" s="121" t="s">
        <v>4806</v>
      </c>
    </row>
    <row r="200" spans="17:44">
      <c r="Q200" s="99" t="s">
        <v>4644</v>
      </c>
      <c r="R200" s="95">
        <v>16727037</v>
      </c>
      <c r="T200" s="219" t="s">
        <v>4827</v>
      </c>
      <c r="U200" s="219">
        <v>160187</v>
      </c>
      <c r="V200" s="113">
        <v>257.49799999999999</v>
      </c>
      <c r="W200" s="113">
        <f t="shared" si="33"/>
        <v>41247832.126000002</v>
      </c>
      <c r="X200" s="99" t="s">
        <v>751</v>
      </c>
      <c r="AH200" s="121">
        <v>36</v>
      </c>
      <c r="AI200" s="121" t="s">
        <v>4825</v>
      </c>
      <c r="AJ200" s="79">
        <v>82496108</v>
      </c>
      <c r="AK200" s="121">
        <v>1</v>
      </c>
      <c r="AL200" s="121">
        <f t="shared" si="39"/>
        <v>1</v>
      </c>
      <c r="AM200" s="121">
        <f t="shared" si="40"/>
        <v>82496108</v>
      </c>
      <c r="AN200" s="121" t="s">
        <v>4828</v>
      </c>
      <c r="AR200" t="s">
        <v>25</v>
      </c>
    </row>
    <row r="201" spans="17:44">
      <c r="Q201" s="99" t="s">
        <v>4651</v>
      </c>
      <c r="R201" s="95">
        <v>46460683</v>
      </c>
      <c r="T201" s="219" t="s">
        <v>4827</v>
      </c>
      <c r="U201" s="219">
        <v>160187</v>
      </c>
      <c r="V201" s="113">
        <v>257.49799999999999</v>
      </c>
      <c r="W201" s="113">
        <f t="shared" si="33"/>
        <v>41247832.126000002</v>
      </c>
      <c r="X201" s="99" t="s">
        <v>452</v>
      </c>
      <c r="AH201" s="121">
        <v>37</v>
      </c>
      <c r="AI201" s="121" t="s">
        <v>4827</v>
      </c>
      <c r="AJ201" s="79">
        <v>74657561</v>
      </c>
      <c r="AK201" s="121">
        <v>1</v>
      </c>
      <c r="AL201" s="121">
        <f t="shared" si="39"/>
        <v>1</v>
      </c>
      <c r="AM201" s="121">
        <f t="shared" si="40"/>
        <v>74657561</v>
      </c>
      <c r="AN201" s="121" t="s">
        <v>4836</v>
      </c>
    </row>
    <row r="202" spans="17:44">
      <c r="Q202" s="99" t="s">
        <v>4654</v>
      </c>
      <c r="R202" s="95">
        <v>19663646</v>
      </c>
      <c r="S202" t="s">
        <v>25</v>
      </c>
      <c r="T202" s="219" t="s">
        <v>4837</v>
      </c>
      <c r="U202" s="219">
        <v>144401</v>
      </c>
      <c r="V202" s="113">
        <v>258.5061</v>
      </c>
      <c r="W202" s="113">
        <f t="shared" si="33"/>
        <v>37328539.346100003</v>
      </c>
      <c r="X202" s="99" t="s">
        <v>751</v>
      </c>
      <c r="AH202" s="99"/>
      <c r="AI202" s="99"/>
      <c r="AJ202" s="117"/>
      <c r="AK202" s="99"/>
      <c r="AL202" s="99">
        <f t="shared" si="39"/>
        <v>0</v>
      </c>
      <c r="AM202" s="20">
        <f t="shared" si="40"/>
        <v>0</v>
      </c>
      <c r="AN202" s="99"/>
    </row>
    <row r="203" spans="17:44">
      <c r="Q203" s="99" t="s">
        <v>4682</v>
      </c>
      <c r="R203" s="95">
        <v>4374525</v>
      </c>
      <c r="T203" s="219" t="s">
        <v>4837</v>
      </c>
      <c r="U203" s="219">
        <v>144401</v>
      </c>
      <c r="V203" s="113">
        <v>258.5061</v>
      </c>
      <c r="W203" s="113">
        <f t="shared" si="33"/>
        <v>37328539.346100003</v>
      </c>
      <c r="X203" s="99" t="s">
        <v>452</v>
      </c>
      <c r="AH203" s="99"/>
      <c r="AI203" s="99"/>
      <c r="AJ203" s="117"/>
      <c r="AK203" s="99"/>
      <c r="AL203" s="99">
        <f t="shared" si="39"/>
        <v>0</v>
      </c>
      <c r="AM203" s="20">
        <f t="shared" si="40"/>
        <v>0</v>
      </c>
      <c r="AN203" s="99"/>
    </row>
    <row r="204" spans="17:44">
      <c r="Q204" s="99" t="s">
        <v>4698</v>
      </c>
      <c r="R204" s="95">
        <v>6550580</v>
      </c>
      <c r="T204" s="168" t="s">
        <v>4847</v>
      </c>
      <c r="U204" s="168">
        <v>196500</v>
      </c>
      <c r="V204" s="113">
        <v>254.452</v>
      </c>
      <c r="W204" s="113">
        <f t="shared" si="33"/>
        <v>49999818</v>
      </c>
      <c r="X204" s="99" t="s">
        <v>4856</v>
      </c>
      <c r="AH204" s="99"/>
      <c r="AI204" s="99"/>
      <c r="AJ204" s="117"/>
      <c r="AK204" s="99"/>
      <c r="AL204" s="99">
        <f t="shared" si="39"/>
        <v>0</v>
      </c>
      <c r="AM204" s="20">
        <f t="shared" si="40"/>
        <v>0</v>
      </c>
      <c r="AN204" s="99"/>
    </row>
    <row r="205" spans="17:44">
      <c r="Q205" s="99" t="s">
        <v>4702</v>
      </c>
      <c r="R205" s="95">
        <v>6650895</v>
      </c>
      <c r="T205" s="219" t="s">
        <v>4847</v>
      </c>
      <c r="U205" s="219">
        <v>2561</v>
      </c>
      <c r="V205" s="113">
        <v>254.536</v>
      </c>
      <c r="W205" s="113">
        <f t="shared" si="33"/>
        <v>651866.696</v>
      </c>
      <c r="X205" s="99" t="s">
        <v>4857</v>
      </c>
      <c r="AH205" s="99"/>
      <c r="AI205" s="99"/>
      <c r="AJ205" s="117"/>
      <c r="AK205" s="99"/>
      <c r="AL205" s="99">
        <f t="shared" si="39"/>
        <v>0</v>
      </c>
      <c r="AM205" s="99">
        <f t="shared" si="40"/>
        <v>0</v>
      </c>
      <c r="AN205" s="99"/>
    </row>
    <row r="206" spans="17:44">
      <c r="Q206" s="99" t="s">
        <v>4746</v>
      </c>
      <c r="R206" s="95">
        <v>2145814</v>
      </c>
      <c r="S206" t="s">
        <v>25</v>
      </c>
      <c r="T206" s="168"/>
      <c r="U206" s="168"/>
      <c r="V206" s="113"/>
      <c r="W206" s="113"/>
      <c r="X206" s="99"/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4763</v>
      </c>
      <c r="R207" s="95">
        <v>4369730</v>
      </c>
      <c r="T207" s="168"/>
      <c r="U207" s="168">
        <f>SUM(U162:U206)</f>
        <v>3206996</v>
      </c>
      <c r="V207" s="99"/>
      <c r="W207" s="99"/>
      <c r="X207" s="99"/>
      <c r="AJ207" t="s">
        <v>4059</v>
      </c>
      <c r="AM207" t="s">
        <v>284</v>
      </c>
      <c r="AN207" t="s">
        <v>943</v>
      </c>
    </row>
    <row r="208" spans="17:44">
      <c r="Q208" s="99" t="s">
        <v>4768</v>
      </c>
      <c r="R208" s="95">
        <v>8739459</v>
      </c>
      <c r="T208" s="99"/>
      <c r="U208" s="99" t="s">
        <v>6</v>
      </c>
      <c r="V208" s="99"/>
      <c r="W208" s="99"/>
      <c r="X208" s="99"/>
    </row>
    <row r="209" spans="17:44">
      <c r="Q209" s="99" t="s">
        <v>4782</v>
      </c>
      <c r="R209" s="95">
        <v>6667654</v>
      </c>
      <c r="T209" s="202" t="s">
        <v>4491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4790</v>
      </c>
      <c r="R210" s="95">
        <v>8981245</v>
      </c>
      <c r="T210" s="201">
        <f>R172/U207</f>
        <v>254.30530667952189</v>
      </c>
      <c r="AI210" t="s">
        <v>4064</v>
      </c>
      <c r="AJ210" s="114">
        <f>SUM(N20:N31)</f>
        <v>248887818.5</v>
      </c>
      <c r="AQ210" t="s">
        <v>25</v>
      </c>
    </row>
    <row r="211" spans="17:44">
      <c r="Q211" s="99" t="s">
        <v>4796</v>
      </c>
      <c r="R211" s="95">
        <v>9181756</v>
      </c>
      <c r="W211" s="114"/>
      <c r="Y211" s="96">
        <f>W215/15</f>
        <v>4977170.7333333334</v>
      </c>
      <c r="AI211" t="s">
        <v>4136</v>
      </c>
      <c r="AJ211" s="114">
        <f>AJ210-AJ206</f>
        <v>2306620.5</v>
      </c>
    </row>
    <row r="212" spans="17:44">
      <c r="Q212" s="99" t="s">
        <v>4807</v>
      </c>
      <c r="R212" s="95">
        <v>11811208</v>
      </c>
      <c r="U212" s="96" t="s">
        <v>267</v>
      </c>
      <c r="V212" t="s">
        <v>4492</v>
      </c>
      <c r="AI212" t="s">
        <v>943</v>
      </c>
      <c r="AJ212" s="114">
        <f>AN206</f>
        <v>2837034.5980645162</v>
      </c>
    </row>
    <row r="213" spans="17:44">
      <c r="Q213" s="99" t="s">
        <v>4827</v>
      </c>
      <c r="R213" s="95">
        <v>41248054</v>
      </c>
      <c r="S213" t="s">
        <v>25</v>
      </c>
      <c r="T213" s="114"/>
      <c r="U213" s="113">
        <v>652000</v>
      </c>
      <c r="V213">
        <f>U213/T210</f>
        <v>2563.8474026090889</v>
      </c>
      <c r="X213" t="s">
        <v>25</v>
      </c>
      <c r="AI213" t="s">
        <v>4065</v>
      </c>
      <c r="AJ213" s="114">
        <f>AJ211-AJ212</f>
        <v>-530414.09806451621</v>
      </c>
      <c r="AN213" t="s">
        <v>25</v>
      </c>
    </row>
    <row r="214" spans="17:44">
      <c r="Q214" s="99" t="s">
        <v>4837</v>
      </c>
      <c r="R214" s="95">
        <v>37328780</v>
      </c>
      <c r="X214" t="s">
        <v>25</v>
      </c>
      <c r="AN214" t="s">
        <v>25</v>
      </c>
    </row>
    <row r="215" spans="17:44">
      <c r="Q215" s="99"/>
      <c r="R215" s="95"/>
      <c r="W215" s="229">
        <v>74657561</v>
      </c>
      <c r="X215" s="96">
        <f>W215/2</f>
        <v>37328780.5</v>
      </c>
    </row>
    <row r="216" spans="17:44">
      <c r="Q216" s="99"/>
      <c r="R216" s="95">
        <f>SUM(R195:R215)</f>
        <v>408236459</v>
      </c>
    </row>
    <row r="217" spans="17:44">
      <c r="Q217" s="99"/>
      <c r="R217" s="99" t="s">
        <v>6</v>
      </c>
    </row>
    <row r="218" spans="17:44" ht="60">
      <c r="S218" t="s">
        <v>25</v>
      </c>
      <c r="T218" s="22" t="s">
        <v>4475</v>
      </c>
      <c r="X218" t="s">
        <v>25</v>
      </c>
    </row>
    <row r="219" spans="17:44" ht="45">
      <c r="T219" s="22" t="s">
        <v>4476</v>
      </c>
    </row>
    <row r="220" spans="17:44">
      <c r="Q220" s="99" t="s">
        <v>452</v>
      </c>
      <c r="R220" s="99"/>
    </row>
    <row r="221" spans="17:44">
      <c r="Q221" s="99" t="s">
        <v>4447</v>
      </c>
      <c r="R221" s="95">
        <v>63115000</v>
      </c>
    </row>
    <row r="222" spans="17:44">
      <c r="Q222" s="99" t="s">
        <v>4502</v>
      </c>
      <c r="R222" s="95">
        <v>13300000</v>
      </c>
      <c r="T222" s="99" t="s">
        <v>4493</v>
      </c>
      <c r="U222" s="99" t="s">
        <v>4464</v>
      </c>
      <c r="V222" s="99" t="s">
        <v>953</v>
      </c>
    </row>
    <row r="223" spans="17:44">
      <c r="Q223" s="99" t="s">
        <v>4512</v>
      </c>
      <c r="R223" s="95">
        <v>2269000</v>
      </c>
      <c r="T223" s="95">
        <f>R188+R216+R241</f>
        <v>786346401</v>
      </c>
      <c r="U223" s="95">
        <f>R172</f>
        <v>815556101.29999995</v>
      </c>
      <c r="V223" s="95">
        <f>U223-T223</f>
        <v>29209700.299999952</v>
      </c>
    </row>
    <row r="224" spans="17:44">
      <c r="Q224" s="99" t="s">
        <v>4638</v>
      </c>
      <c r="R224" s="95">
        <v>25071612</v>
      </c>
    </row>
    <row r="225" spans="17:20">
      <c r="Q225" s="99" t="s">
        <v>4651</v>
      </c>
      <c r="R225" s="95">
        <v>42236984</v>
      </c>
    </row>
    <row r="226" spans="17:20">
      <c r="Q226" s="99" t="s">
        <v>4654</v>
      </c>
      <c r="R226" s="95">
        <v>19663646</v>
      </c>
    </row>
    <row r="227" spans="17:20">
      <c r="Q227" s="99" t="s">
        <v>4682</v>
      </c>
      <c r="R227" s="95">
        <v>4374525</v>
      </c>
    </row>
    <row r="228" spans="17:20">
      <c r="Q228" s="99" t="s">
        <v>4698</v>
      </c>
      <c r="R228" s="95">
        <v>6550580</v>
      </c>
      <c r="T228" t="s">
        <v>25</v>
      </c>
    </row>
    <row r="229" spans="17:20">
      <c r="Q229" s="99" t="s">
        <v>4702</v>
      </c>
      <c r="R229" s="95">
        <v>7054895</v>
      </c>
      <c r="T229" t="s">
        <v>25</v>
      </c>
    </row>
    <row r="230" spans="17:20">
      <c r="Q230" s="99" t="s">
        <v>4746</v>
      </c>
      <c r="R230" s="95">
        <v>2145814</v>
      </c>
    </row>
    <row r="231" spans="17:20">
      <c r="Q231" s="99" t="s">
        <v>4763</v>
      </c>
      <c r="R231" s="95">
        <v>4369730</v>
      </c>
      <c r="T231" t="s">
        <v>25</v>
      </c>
    </row>
    <row r="232" spans="17:20">
      <c r="Q232" s="99" t="s">
        <v>4768</v>
      </c>
      <c r="R232" s="95">
        <v>8739459</v>
      </c>
    </row>
    <row r="233" spans="17:20">
      <c r="Q233" s="99" t="s">
        <v>4782</v>
      </c>
      <c r="R233" s="95">
        <v>6667654</v>
      </c>
    </row>
    <row r="234" spans="17:20">
      <c r="Q234" s="99" t="s">
        <v>3684</v>
      </c>
      <c r="R234" s="95">
        <v>8981245</v>
      </c>
    </row>
    <row r="235" spans="17:20">
      <c r="Q235" s="99" t="s">
        <v>4796</v>
      </c>
      <c r="R235" s="95">
        <v>9181756</v>
      </c>
      <c r="T235" t="s">
        <v>25</v>
      </c>
    </row>
    <row r="236" spans="17:20">
      <c r="Q236" s="99" t="s">
        <v>4807</v>
      </c>
      <c r="R236" s="95">
        <v>11811208</v>
      </c>
      <c r="T236" t="s">
        <v>25</v>
      </c>
    </row>
    <row r="237" spans="17:20">
      <c r="Q237" s="99" t="s">
        <v>4827</v>
      </c>
      <c r="R237" s="95">
        <v>41248054</v>
      </c>
    </row>
    <row r="238" spans="17:20">
      <c r="Q238" s="99" t="s">
        <v>4837</v>
      </c>
      <c r="R238" s="95">
        <v>37328780</v>
      </c>
      <c r="T238" t="s">
        <v>25</v>
      </c>
    </row>
    <row r="239" spans="17:20">
      <c r="Q239" s="99" t="s">
        <v>4847</v>
      </c>
      <c r="R239" s="95">
        <v>50000000</v>
      </c>
      <c r="T239" t="s">
        <v>25</v>
      </c>
    </row>
    <row r="240" spans="17:20">
      <c r="Q240" s="99"/>
      <c r="R240" s="95"/>
    </row>
    <row r="241" spans="17:20">
      <c r="Q241" s="99"/>
      <c r="R241" s="95">
        <f>SUM(R221:R240)</f>
        <v>364109942</v>
      </c>
    </row>
    <row r="242" spans="17:20">
      <c r="Q242" s="99"/>
      <c r="R242" s="99" t="s">
        <v>6</v>
      </c>
    </row>
    <row r="243" spans="17:20">
      <c r="T243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125:G1048576 I117:I124 G96:G11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9 S87 S93 S96:S98 S101 S107:S108 S103 S119 S121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abSelected="1" topLeftCell="C55" workbookViewId="0">
      <selection activeCell="I71" sqref="I7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0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0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5">
        <v>4</v>
      </c>
      <c r="K5" s="225" t="s">
        <v>4633</v>
      </c>
      <c r="L5" s="226">
        <v>0</v>
      </c>
      <c r="M5" s="225">
        <v>3</v>
      </c>
      <c r="N5" s="226">
        <f t="shared" ref="N5" si="3">L5*M5</f>
        <v>0</v>
      </c>
      <c r="O5" s="227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8" t="s">
        <v>4412</v>
      </c>
      <c r="AB12" s="113">
        <v>498.9</v>
      </c>
      <c r="AC12" s="168">
        <v>79903</v>
      </c>
      <c r="AD12" s="228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2" t="s">
        <v>4397</v>
      </c>
      <c r="AB15" s="117">
        <v>5179.5</v>
      </c>
      <c r="AC15" s="19">
        <v>1718</v>
      </c>
      <c r="AD15" s="222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8" t="s">
        <v>4412</v>
      </c>
      <c r="AB17" s="117">
        <v>508.1</v>
      </c>
      <c r="AC17" s="19">
        <v>1096</v>
      </c>
      <c r="AD17" s="228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8" t="s">
        <v>4412</v>
      </c>
      <c r="AB19" s="117">
        <v>503.3</v>
      </c>
      <c r="AC19" s="19">
        <v>1232</v>
      </c>
      <c r="AD19" s="228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8" t="s">
        <v>4412</v>
      </c>
      <c r="AB20" s="117">
        <v>501.2</v>
      </c>
      <c r="AC20" s="19">
        <f>Y20*Z20/AB20</f>
        <v>2038.1085395051875</v>
      </c>
      <c r="AD20" s="228">
        <f t="shared" ref="AD20:AD40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8" t="s">
        <v>4412</v>
      </c>
      <c r="AB21" s="117">
        <v>481.7</v>
      </c>
      <c r="AC21" s="19">
        <f>Y21*Z21/AB21</f>
        <v>2031.1397135146358</v>
      </c>
      <c r="AD21" s="228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40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5">
        <v>23</v>
      </c>
      <c r="K24" s="225" t="s">
        <v>4765</v>
      </c>
      <c r="L24" s="226">
        <v>4388600</v>
      </c>
      <c r="M24" s="225">
        <v>5</v>
      </c>
      <c r="N24" s="226">
        <f t="shared" si="7"/>
        <v>21943000</v>
      </c>
      <c r="O24" s="227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8" t="s">
        <v>4412</v>
      </c>
      <c r="AB26" s="117">
        <v>489</v>
      </c>
      <c r="AC26" s="19">
        <v>17060</v>
      </c>
      <c r="AD26" s="228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8" t="s">
        <v>4412</v>
      </c>
      <c r="AB27" s="219">
        <v>486.4</v>
      </c>
      <c r="AC27" s="219">
        <v>36741</v>
      </c>
      <c r="AD27" s="228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4796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4796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4393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R30" t="s">
        <v>25</v>
      </c>
      <c r="W30" s="219" t="s">
        <v>4796</v>
      </c>
      <c r="X30" s="219" t="s">
        <v>1086</v>
      </c>
      <c r="Y30" s="113">
        <v>4590878</v>
      </c>
      <c r="Z30" s="219">
        <f t="shared" si="9"/>
        <v>0.33907971416360883</v>
      </c>
      <c r="AA30" s="231" t="s">
        <v>4243</v>
      </c>
      <c r="AB30" s="117">
        <v>168.8</v>
      </c>
      <c r="AC30" s="19">
        <v>9222</v>
      </c>
      <c r="AD30" s="231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4796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4796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4546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4796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4807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4810</v>
      </c>
    </row>
    <row r="33" spans="1:32">
      <c r="A33" s="99"/>
      <c r="B33" s="205"/>
      <c r="C33" s="169"/>
      <c r="D33" s="99"/>
      <c r="J33" s="219">
        <v>32</v>
      </c>
      <c r="K33" s="219" t="s">
        <v>4825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4807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4393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4825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4807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4546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4827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4827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4393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4827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/>
      <c r="W36" s="219" t="s">
        <v>4827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4546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4827</v>
      </c>
      <c r="X37" s="219" t="s">
        <v>1086</v>
      </c>
      <c r="Y37" s="113">
        <v>4852712</v>
      </c>
      <c r="Z37" s="219">
        <f t="shared" si="9"/>
        <v>3.1790291490613911</v>
      </c>
      <c r="AA37" s="228" t="s">
        <v>4412</v>
      </c>
      <c r="AB37" s="117">
        <v>525.1</v>
      </c>
      <c r="AC37" s="219">
        <v>29379</v>
      </c>
      <c r="AD37" s="228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9"/>
      <c r="K38" s="219"/>
      <c r="L38" s="113"/>
      <c r="M38" s="219"/>
      <c r="N38" s="113"/>
      <c r="O38" s="99"/>
      <c r="W38" s="219" t="s">
        <v>4837</v>
      </c>
      <c r="X38" s="219" t="s">
        <v>1086</v>
      </c>
      <c r="Y38" s="113">
        <v>4977171</v>
      </c>
      <c r="Z38" s="219">
        <f t="shared" si="9"/>
        <v>6.1346965173589574</v>
      </c>
      <c r="AA38" s="228" t="s">
        <v>4412</v>
      </c>
      <c r="AB38" s="117">
        <v>529.79999999999995</v>
      </c>
      <c r="AC38" s="219">
        <v>57632</v>
      </c>
      <c r="AD38" s="228">
        <f t="shared" si="8"/>
        <v>9394.4337485843716</v>
      </c>
      <c r="AE38" s="219">
        <f t="shared" si="2"/>
        <v>1.0644601119792749E-4</v>
      </c>
      <c r="AF38" s="99"/>
    </row>
    <row r="39" spans="1:32">
      <c r="J39" s="219"/>
      <c r="K39" s="219"/>
      <c r="L39" s="113"/>
      <c r="M39" s="219"/>
      <c r="N39" s="113"/>
      <c r="O39" s="99"/>
      <c r="W39" s="219" t="s">
        <v>4837</v>
      </c>
      <c r="X39" s="219" t="s">
        <v>1086</v>
      </c>
      <c r="Y39" s="113">
        <v>4977171</v>
      </c>
      <c r="Z39" s="219">
        <f t="shared" si="9"/>
        <v>1.084129920390519</v>
      </c>
      <c r="AA39" s="235" t="s">
        <v>4397</v>
      </c>
      <c r="AB39" s="117">
        <v>5395.9</v>
      </c>
      <c r="AC39" s="219">
        <v>1000</v>
      </c>
      <c r="AD39" s="235">
        <f t="shared" si="8"/>
        <v>922.39867306658766</v>
      </c>
      <c r="AE39" s="219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9" t="s">
        <v>4837</v>
      </c>
      <c r="X40" s="219" t="s">
        <v>1086</v>
      </c>
      <c r="Y40" s="113">
        <v>4977171</v>
      </c>
      <c r="Z40" s="219">
        <f t="shared" si="9"/>
        <v>7.7072195831728516</v>
      </c>
      <c r="AA40" s="228" t="s">
        <v>4393</v>
      </c>
      <c r="AB40" s="219">
        <v>3355.8</v>
      </c>
      <c r="AC40" s="219">
        <v>11431</v>
      </c>
      <c r="AD40" s="228">
        <f t="shared" si="8"/>
        <v>1483.1548364026462</v>
      </c>
      <c r="AE40" s="219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9"/>
      <c r="X41" s="219"/>
      <c r="Y41" s="113"/>
      <c r="Z41" s="219"/>
      <c r="AA41" s="228"/>
      <c r="AB41" s="219"/>
      <c r="AC41" s="219"/>
      <c r="AD41" s="228"/>
      <c r="AE41" s="219"/>
      <c r="AF41" s="99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168"/>
      <c r="X42" s="168"/>
      <c r="Y42" s="113"/>
      <c r="Z42" s="168"/>
      <c r="AA42" s="168"/>
      <c r="AB42" s="113"/>
      <c r="AC42" s="168"/>
      <c r="AD42" s="19"/>
      <c r="AE42" s="168"/>
      <c r="AF42" s="99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Z43" t="s">
        <v>25</v>
      </c>
      <c r="AC43" t="s">
        <v>25</v>
      </c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M44" s="41" t="s">
        <v>4532</v>
      </c>
      <c r="N44" t="s">
        <v>25</v>
      </c>
      <c r="O44" s="229">
        <v>74657561</v>
      </c>
      <c r="R44" t="s">
        <v>25</v>
      </c>
      <c r="Z44" t="s">
        <v>25</v>
      </c>
      <c r="AA44" t="s">
        <v>25</v>
      </c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W45" s="96"/>
      <c r="X45" s="96"/>
      <c r="Y45" s="96"/>
      <c r="Z45" s="96"/>
      <c r="AA45" s="96"/>
      <c r="AB45" s="96"/>
      <c r="AC45" s="96"/>
      <c r="AD45" s="96"/>
      <c r="AF45" t="s">
        <v>25</v>
      </c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W46" s="96"/>
      <c r="X46" s="96"/>
      <c r="Y46" s="96"/>
      <c r="Z46" s="96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96"/>
      <c r="X47" s="96"/>
      <c r="Y47" s="96"/>
      <c r="Z47" s="96"/>
      <c r="AA47" s="96"/>
      <c r="AB47" s="96" t="s">
        <v>25</v>
      </c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96"/>
      <c r="X48" s="96"/>
      <c r="Y48" s="96"/>
      <c r="Z48" s="96"/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W49" s="96"/>
      <c r="X49" s="96"/>
      <c r="Y49" s="96"/>
      <c r="Z49" s="96"/>
      <c r="AA49" s="96"/>
      <c r="AB49" s="96"/>
      <c r="AC49" s="96"/>
      <c r="AD49" s="96"/>
    </row>
    <row r="50" spans="1:3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W50" s="96"/>
      <c r="X50" s="96"/>
      <c r="Y50" s="96"/>
      <c r="Z50" s="96"/>
      <c r="AA50" s="96"/>
      <c r="AB50" s="96"/>
      <c r="AC50" s="96"/>
      <c r="AD50" s="96"/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AA51" s="96"/>
      <c r="AB51" s="96"/>
      <c r="AC51" s="96"/>
      <c r="AD51" s="96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4542</v>
      </c>
      <c r="L52" s="168" t="s">
        <v>1086</v>
      </c>
      <c r="M52" s="168" t="s">
        <v>4243</v>
      </c>
      <c r="N52" s="168" t="s">
        <v>4559</v>
      </c>
      <c r="O52" s="168"/>
      <c r="AA52" s="96"/>
      <c r="AB52" s="96"/>
      <c r="AC52" s="96"/>
      <c r="AD52" s="96" t="s">
        <v>25</v>
      </c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4531</v>
      </c>
      <c r="L53" s="168">
        <v>3390000</v>
      </c>
      <c r="M53" s="168">
        <v>161.4</v>
      </c>
      <c r="N53" s="168">
        <f>L53/M53</f>
        <v>21003.717472118959</v>
      </c>
      <c r="O53" s="168"/>
      <c r="AA53" s="96"/>
      <c r="AB53" s="96"/>
      <c r="AC53" s="96" t="s">
        <v>25</v>
      </c>
      <c r="AD53" s="96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AA54" s="96"/>
      <c r="AB54" s="96"/>
      <c r="AC54" s="96"/>
      <c r="AD54" s="96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0">
      <c r="A56" s="99" t="s">
        <v>4796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 t="s">
        <v>4675</v>
      </c>
      <c r="AA56" s="96"/>
      <c r="AB56" s="96"/>
      <c r="AC56" s="96"/>
      <c r="AD56" s="96"/>
    </row>
    <row r="57" spans="1:30">
      <c r="A57" s="99" t="s">
        <v>4807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 t="s">
        <v>4676</v>
      </c>
      <c r="AA57" s="212">
        <v>35441</v>
      </c>
      <c r="AB57" s="96"/>
      <c r="AC57" s="96"/>
      <c r="AD57" s="96"/>
    </row>
    <row r="58" spans="1:30" ht="120">
      <c r="A58" s="99" t="s">
        <v>4817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W58" s="96"/>
      <c r="X58" s="22" t="s">
        <v>4679</v>
      </c>
      <c r="Y58" s="22" t="s">
        <v>4678</v>
      </c>
      <c r="Z58" s="22" t="s">
        <v>4677</v>
      </c>
      <c r="AA58" s="22" t="s">
        <v>4681</v>
      </c>
    </row>
    <row r="59" spans="1:30">
      <c r="A59" s="99" t="s">
        <v>4825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</row>
    <row r="60" spans="1:30">
      <c r="A60" s="99" t="s">
        <v>4827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</row>
    <row r="61" spans="1:30">
      <c r="A61" s="99" t="s">
        <v>4837</v>
      </c>
      <c r="B61" s="95">
        <v>4700000</v>
      </c>
      <c r="C61" s="95">
        <v>4850000</v>
      </c>
      <c r="D61" s="95">
        <v>13650</v>
      </c>
      <c r="E61" s="95">
        <v>13800</v>
      </c>
    </row>
    <row r="62" spans="1:30">
      <c r="A62" s="99" t="s">
        <v>4847</v>
      </c>
      <c r="B62" s="95">
        <v>4550000</v>
      </c>
      <c r="C62" s="95">
        <v>4750000</v>
      </c>
      <c r="D62" s="95">
        <v>13400</v>
      </c>
      <c r="E62" s="95">
        <v>13500</v>
      </c>
    </row>
    <row r="63" spans="1:30">
      <c r="A63" s="99"/>
      <c r="B63" s="95"/>
      <c r="C63" s="95"/>
      <c r="D63" s="95"/>
      <c r="E63" s="95"/>
      <c r="G63" s="114">
        <f>B62-B47+L19</f>
        <v>4861628</v>
      </c>
      <c r="I63" s="99" t="s">
        <v>8</v>
      </c>
      <c r="J63" s="99" t="s">
        <v>4840</v>
      </c>
      <c r="K63" s="99" t="s">
        <v>180</v>
      </c>
      <c r="L63" s="187" t="s">
        <v>4838</v>
      </c>
      <c r="M63" s="187" t="s">
        <v>4839</v>
      </c>
      <c r="N63" s="99" t="s">
        <v>6</v>
      </c>
      <c r="O63" s="99" t="s">
        <v>4841</v>
      </c>
    </row>
    <row r="64" spans="1:30">
      <c r="A64" s="99"/>
      <c r="B64" s="95"/>
      <c r="C64" s="95"/>
      <c r="D64" s="95"/>
      <c r="E64" s="95"/>
      <c r="I64" s="99"/>
      <c r="J64" s="99"/>
      <c r="K64" s="99" t="s">
        <v>4765</v>
      </c>
      <c r="L64" s="232">
        <v>535989412</v>
      </c>
      <c r="M64" s="232"/>
      <c r="N64" s="99"/>
      <c r="O64" s="99"/>
    </row>
    <row r="65" spans="1:17">
      <c r="A65" s="99"/>
      <c r="B65" s="95"/>
      <c r="C65" s="95"/>
      <c r="D65" s="95"/>
      <c r="E65" s="95"/>
      <c r="I65" s="99"/>
      <c r="J65" s="95">
        <f>L65-L64</f>
        <v>12939932</v>
      </c>
      <c r="K65" s="99" t="s">
        <v>4807</v>
      </c>
      <c r="L65" s="232">
        <v>548929344</v>
      </c>
      <c r="M65" s="232"/>
      <c r="N65" s="99"/>
      <c r="O65" s="99"/>
    </row>
    <row r="66" spans="1:17">
      <c r="A66" s="99"/>
      <c r="B66" s="95"/>
      <c r="C66" s="95"/>
      <c r="D66" s="95"/>
      <c r="E66" s="95"/>
      <c r="F66" t="s">
        <v>25</v>
      </c>
      <c r="I66" s="99"/>
      <c r="J66" s="95">
        <f t="shared" ref="J66:J75" si="10">L66-L65</f>
        <v>11531981</v>
      </c>
      <c r="K66" s="99" t="s">
        <v>4817</v>
      </c>
      <c r="L66" s="232">
        <v>560461325</v>
      </c>
      <c r="M66" s="232"/>
      <c r="N66" s="99"/>
      <c r="O66" s="99"/>
    </row>
    <row r="67" spans="1:17">
      <c r="I67" s="99"/>
      <c r="J67" s="95">
        <f t="shared" si="10"/>
        <v>17387769</v>
      </c>
      <c r="K67" s="99" t="s">
        <v>4825</v>
      </c>
      <c r="L67" s="232">
        <v>577849094</v>
      </c>
      <c r="M67" s="232"/>
      <c r="N67" s="99"/>
      <c r="O67" s="99"/>
    </row>
    <row r="68" spans="1:17">
      <c r="I68" s="99"/>
      <c r="J68" s="95">
        <f t="shared" si="10"/>
        <v>11024486</v>
      </c>
      <c r="K68" s="99" t="s">
        <v>4827</v>
      </c>
      <c r="L68" s="232">
        <v>588873580</v>
      </c>
      <c r="M68" s="232">
        <v>250255923</v>
      </c>
      <c r="N68" s="95">
        <f>L68+M68</f>
        <v>839129503</v>
      </c>
      <c r="O68" s="95">
        <f>M68-M67</f>
        <v>250255923</v>
      </c>
      <c r="Q68" t="s">
        <v>25</v>
      </c>
    </row>
    <row r="69" spans="1:17">
      <c r="I69" s="99"/>
      <c r="J69" s="95">
        <f t="shared" si="10"/>
        <v>-8942851</v>
      </c>
      <c r="K69" s="99" t="s">
        <v>4837</v>
      </c>
      <c r="L69" s="234">
        <v>579930729</v>
      </c>
      <c r="M69" s="232">
        <v>247714729</v>
      </c>
      <c r="N69" s="95">
        <f t="shared" ref="N69:N75" si="11">L69+M69</f>
        <v>827645458</v>
      </c>
      <c r="O69" s="95">
        <f t="shared" ref="O69:O76" si="12">M69-M68</f>
        <v>-2541194</v>
      </c>
    </row>
    <row r="70" spans="1:17">
      <c r="B70" t="s">
        <v>25</v>
      </c>
      <c r="I70" s="99" t="s">
        <v>4859</v>
      </c>
      <c r="J70" s="95">
        <f t="shared" si="10"/>
        <v>45893629</v>
      </c>
      <c r="K70" s="99" t="s">
        <v>4847</v>
      </c>
      <c r="L70" s="232">
        <v>625824358</v>
      </c>
      <c r="M70" s="232">
        <v>243028777</v>
      </c>
      <c r="N70" s="95">
        <f t="shared" si="11"/>
        <v>868853135</v>
      </c>
      <c r="O70" s="95">
        <f t="shared" si="12"/>
        <v>-4685952</v>
      </c>
    </row>
    <row r="71" spans="1:17">
      <c r="I71" s="99"/>
      <c r="J71" s="95">
        <f t="shared" si="10"/>
        <v>-625824358</v>
      </c>
      <c r="K71" s="99"/>
      <c r="L71" s="232">
        <v>0</v>
      </c>
      <c r="M71" s="232"/>
      <c r="N71" s="95">
        <f t="shared" si="11"/>
        <v>0</v>
      </c>
      <c r="O71" s="95">
        <f t="shared" si="12"/>
        <v>-243028777</v>
      </c>
    </row>
    <row r="72" spans="1:17">
      <c r="E72" t="s">
        <v>25</v>
      </c>
      <c r="I72" s="99"/>
      <c r="J72" s="95">
        <f t="shared" si="10"/>
        <v>0</v>
      </c>
      <c r="K72" s="99"/>
      <c r="L72" s="232">
        <v>0</v>
      </c>
      <c r="M72" s="232"/>
      <c r="N72" s="95">
        <f t="shared" si="11"/>
        <v>0</v>
      </c>
      <c r="O72" s="95">
        <f t="shared" si="12"/>
        <v>0</v>
      </c>
    </row>
    <row r="73" spans="1:17">
      <c r="I73" s="99"/>
      <c r="J73" s="95">
        <f t="shared" si="10"/>
        <v>0</v>
      </c>
      <c r="K73" s="219"/>
      <c r="L73" s="233">
        <v>0</v>
      </c>
      <c r="M73" s="232"/>
      <c r="N73" s="95">
        <f t="shared" si="11"/>
        <v>0</v>
      </c>
      <c r="O73" s="95">
        <f t="shared" si="12"/>
        <v>0</v>
      </c>
    </row>
    <row r="74" spans="1:17">
      <c r="I74" s="99"/>
      <c r="J74" s="95">
        <f t="shared" si="10"/>
        <v>0</v>
      </c>
      <c r="K74" s="99"/>
      <c r="L74" s="187">
        <v>0</v>
      </c>
      <c r="M74" s="232"/>
      <c r="N74" s="95">
        <f t="shared" si="11"/>
        <v>0</v>
      </c>
      <c r="O74" s="95">
        <f t="shared" si="12"/>
        <v>0</v>
      </c>
    </row>
    <row r="75" spans="1:17">
      <c r="I75" s="99"/>
      <c r="J75" s="95">
        <f t="shared" si="10"/>
        <v>0</v>
      </c>
      <c r="K75" s="99"/>
      <c r="L75" s="187">
        <v>0</v>
      </c>
      <c r="M75" s="232"/>
      <c r="N75" s="95">
        <f t="shared" si="11"/>
        <v>0</v>
      </c>
      <c r="O75" s="95">
        <f t="shared" si="12"/>
        <v>0</v>
      </c>
    </row>
    <row r="76" spans="1:17">
      <c r="I76" s="99"/>
      <c r="J76" s="95">
        <f>L76-L75</f>
        <v>0</v>
      </c>
      <c r="K76" s="99"/>
      <c r="L76" s="187">
        <v>0</v>
      </c>
      <c r="M76" s="232"/>
      <c r="N76" s="99"/>
      <c r="O76" s="95">
        <f t="shared" si="12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28" workbookViewId="0">
      <selection activeCell="D45" sqref="D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6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47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194</v>
      </c>
      <c r="F41" s="99">
        <f t="shared" si="0"/>
        <v>0</v>
      </c>
      <c r="G41" s="99">
        <f t="shared" si="2"/>
        <v>-61129594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0">
      <c r="A43" s="99" t="s">
        <v>4585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0">
      <c r="A44" s="99" t="s">
        <v>4847</v>
      </c>
      <c r="B44" s="113">
        <v>-30000</v>
      </c>
      <c r="C44" s="99" t="s">
        <v>4153</v>
      </c>
      <c r="D44" s="99">
        <v>1</v>
      </c>
      <c r="E44" s="99">
        <f t="shared" si="5"/>
        <v>1</v>
      </c>
      <c r="F44" s="99">
        <f t="shared" si="0"/>
        <v>0</v>
      </c>
      <c r="G44" s="99">
        <f t="shared" si="2"/>
        <v>-30000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78674</v>
      </c>
      <c r="C48" s="99"/>
      <c r="D48" s="99"/>
      <c r="E48" s="99"/>
      <c r="F48" s="99"/>
      <c r="G48" s="95">
        <f>SUM(G2:G33)</f>
        <v>412540042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571385.0997229917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4786</v>
      </c>
      <c r="B23" s="18">
        <v>-297992</v>
      </c>
      <c r="C23" s="18">
        <v>0</v>
      </c>
      <c r="D23" s="113">
        <f t="shared" si="0"/>
        <v>-297992</v>
      </c>
      <c r="E23" s="19" t="s">
        <v>4787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6" t="s">
        <v>1089</v>
      </c>
      <c r="R21" s="236"/>
      <c r="S21" s="236"/>
      <c r="T21" s="236"/>
      <c r="U21" s="96"/>
      <c r="V21" s="96"/>
      <c r="W21" s="96"/>
      <c r="X21" s="96"/>
      <c r="Y21" s="96"/>
      <c r="Z21" s="96"/>
    </row>
    <row r="22" spans="5:35">
      <c r="O22" s="99"/>
      <c r="P22" s="99"/>
      <c r="Q22" s="236"/>
      <c r="R22" s="236"/>
      <c r="S22" s="236"/>
      <c r="T22" s="23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7" t="s">
        <v>1090</v>
      </c>
      <c r="R23" s="238" t="s">
        <v>1091</v>
      </c>
      <c r="S23" s="237" t="s">
        <v>1092</v>
      </c>
      <c r="T23" s="239" t="s">
        <v>1093</v>
      </c>
      <c r="AD23" t="s">
        <v>25</v>
      </c>
    </row>
    <row r="24" spans="5:35">
      <c r="O24" s="99"/>
      <c r="P24" s="99"/>
      <c r="Q24" s="237"/>
      <c r="R24" s="238"/>
      <c r="S24" s="237"/>
      <c r="T24" s="239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G18" sqref="G1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4792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4793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4825</v>
      </c>
      <c r="B6" s="95">
        <v>0</v>
      </c>
      <c r="C6" s="95">
        <v>3000</v>
      </c>
      <c r="D6" s="99" t="s">
        <v>4829</v>
      </c>
      <c r="E6" s="96"/>
      <c r="F6" s="96"/>
      <c r="G6" s="96"/>
    </row>
    <row r="7" spans="1:7">
      <c r="A7" s="99" t="s">
        <v>4825</v>
      </c>
      <c r="B7" s="95">
        <v>9200</v>
      </c>
      <c r="C7" s="95">
        <v>0</v>
      </c>
      <c r="D7" s="99" t="s">
        <v>4793</v>
      </c>
      <c r="E7" s="96"/>
      <c r="F7" s="96"/>
      <c r="G7" s="96"/>
    </row>
    <row r="8" spans="1:7">
      <c r="A8" s="99" t="s">
        <v>4827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/>
      <c r="B9" s="99"/>
      <c r="C9" s="99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19500</v>
      </c>
      <c r="C24" s="95">
        <f>SUM(C2:C23)</f>
        <v>11500</v>
      </c>
      <c r="D24" s="99"/>
      <c r="E24" s="96"/>
      <c r="F24" s="96"/>
      <c r="G24" s="96"/>
    </row>
    <row r="26" spans="1:7">
      <c r="A26" s="23" t="s">
        <v>4827</v>
      </c>
      <c r="B26" s="230">
        <v>6700</v>
      </c>
      <c r="C26" s="230">
        <v>0</v>
      </c>
      <c r="D26" s="23" t="s">
        <v>4830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2019-02-26T11:59:39Z</dcterms:modified>
</cp:coreProperties>
</file>