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17" i="52" l="1"/>
  <c r="O117" i="52"/>
  <c r="V58" i="18" l="1"/>
  <c r="W58" i="18" s="1"/>
  <c r="S58" i="18"/>
  <c r="X58" i="18" l="1"/>
  <c r="P116" i="52"/>
  <c r="O116" i="52"/>
  <c r="N116" i="52"/>
  <c r="R214" i="18" l="1"/>
  <c r="P172" i="18"/>
  <c r="U252" i="18"/>
  <c r="W250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D312" i="15"/>
  <c r="D311" i="15" s="1"/>
  <c r="E312" i="15"/>
  <c r="D313" i="15"/>
  <c r="E313" i="15"/>
  <c r="F313" i="15"/>
  <c r="E281" i="15"/>
  <c r="E282" i="15"/>
  <c r="E283" i="15"/>
  <c r="E284" i="15"/>
  <c r="E285" i="15"/>
  <c r="E286" i="15"/>
  <c r="E287" i="15"/>
  <c r="E288" i="15"/>
  <c r="F312" i="15" l="1"/>
  <c r="F311" i="15"/>
  <c r="D310" i="15"/>
  <c r="K106" i="18"/>
  <c r="D309" i="15" l="1"/>
  <c r="F310" i="15"/>
  <c r="D308" i="15" l="1"/>
  <c r="F309" i="15"/>
  <c r="G117" i="18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26" i="52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N117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D305" i="15" l="1"/>
  <c r="F306" i="15"/>
  <c r="P112" i="52"/>
  <c r="P113" i="52"/>
  <c r="P118" i="52"/>
  <c r="P122" i="52"/>
  <c r="P119" i="52"/>
  <c r="P121" i="52"/>
  <c r="P123" i="52"/>
  <c r="P125" i="52"/>
  <c r="P114" i="52"/>
  <c r="P126" i="52"/>
  <c r="P115" i="52"/>
  <c r="P120" i="52"/>
  <c r="P124" i="52"/>
  <c r="O110" i="52"/>
  <c r="D304" i="15" l="1"/>
  <c r="F305" i="15"/>
  <c r="W249" i="18"/>
  <c r="J108" i="52"/>
  <c r="D303" i="15" l="1"/>
  <c r="F304" i="15"/>
  <c r="W248" i="18"/>
  <c r="W247" i="18"/>
  <c r="F303" i="15" l="1"/>
  <c r="D302" i="15"/>
  <c r="O106" i="52"/>
  <c r="J106" i="52"/>
  <c r="D301" i="15" l="1"/>
  <c r="F302" i="15"/>
  <c r="J104" i="52"/>
  <c r="G126" i="18"/>
  <c r="E276" i="15"/>
  <c r="E277" i="15"/>
  <c r="E278" i="15"/>
  <c r="E279" i="15"/>
  <c r="E280" i="15"/>
  <c r="D300" i="15" l="1"/>
  <c r="F301" i="15"/>
  <c r="AL249" i="18"/>
  <c r="W246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45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68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AM243" i="18" l="1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84" i="18"/>
  <c r="J90" i="52"/>
  <c r="J95" i="52"/>
  <c r="W244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6" i="18"/>
  <c r="O135" i="18"/>
  <c r="O134" i="18"/>
  <c r="AM239" i="18" l="1"/>
  <c r="AL238" i="18"/>
  <c r="D289" i="15"/>
  <c r="F290" i="15"/>
  <c r="P97" i="52"/>
  <c r="P98" i="52"/>
  <c r="P95" i="52"/>
  <c r="P96" i="52"/>
  <c r="P94" i="52"/>
  <c r="P93" i="52"/>
  <c r="O138" i="18"/>
  <c r="N91" i="52"/>
  <c r="P92" i="52" s="1"/>
  <c r="AL237" i="18" l="1"/>
  <c r="AM238" i="18"/>
  <c r="F289" i="15"/>
  <c r="D288" i="15"/>
  <c r="R245" i="18"/>
  <c r="T268" i="18" s="1"/>
  <c r="W243" i="18"/>
  <c r="W242" i="18"/>
  <c r="W241" i="18"/>
  <c r="M48" i="52"/>
  <c r="M47" i="52"/>
  <c r="N38" i="52"/>
  <c r="N37" i="52"/>
  <c r="M49" i="52"/>
  <c r="N50" i="52" s="1"/>
  <c r="AM237" i="18" l="1"/>
  <c r="AL236" i="18"/>
  <c r="D287" i="15"/>
  <c r="F288" i="15"/>
  <c r="N49" i="52"/>
  <c r="D63" i="58"/>
  <c r="AL148" i="18"/>
  <c r="AM148" i="18" s="1"/>
  <c r="AL149" i="18"/>
  <c r="AM149" i="18" s="1"/>
  <c r="W240" i="18"/>
  <c r="AM236" i="18" l="1"/>
  <c r="AL235" i="18"/>
  <c r="F287" i="15"/>
  <c r="D286" i="15"/>
  <c r="G127" i="18"/>
  <c r="J127" i="18" s="1"/>
  <c r="J126" i="18"/>
  <c r="G125" i="18"/>
  <c r="J125" i="18" s="1"/>
  <c r="G124" i="18"/>
  <c r="J124" i="18" s="1"/>
  <c r="AL234" i="18" l="1"/>
  <c r="AM235" i="18"/>
  <c r="D285" i="15"/>
  <c r="F286" i="15"/>
  <c r="J128" i="18"/>
  <c r="W239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38" i="18"/>
  <c r="AM232" i="18" l="1"/>
  <c r="AL231" i="18"/>
  <c r="F283" i="15"/>
  <c r="D282" i="15"/>
  <c r="G32" i="57"/>
  <c r="H32" i="57"/>
  <c r="D32" i="57"/>
  <c r="I32" i="57" s="1"/>
  <c r="D345" i="20"/>
  <c r="W237" i="18"/>
  <c r="W236" i="18"/>
  <c r="AL230" i="18" l="1"/>
  <c r="AM231" i="18"/>
  <c r="D281" i="15"/>
  <c r="F282" i="15"/>
  <c r="W172" i="18"/>
  <c r="W171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P22" i="18"/>
  <c r="W235" i="18"/>
  <c r="D343" i="20"/>
  <c r="F279" i="15" l="1"/>
  <c r="D278" i="15"/>
  <c r="W234" i="18"/>
  <c r="D342" i="20"/>
  <c r="J83" i="52"/>
  <c r="O83" i="52"/>
  <c r="W233" i="18"/>
  <c r="W232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31" i="18"/>
  <c r="AL145" i="18" l="1"/>
  <c r="AM145" i="18" s="1"/>
  <c r="D340" i="20" l="1"/>
  <c r="W230" i="18"/>
  <c r="H337" i="20"/>
  <c r="H338" i="20"/>
  <c r="H339" i="20"/>
  <c r="H340" i="20"/>
  <c r="H341" i="20"/>
  <c r="H368" i="20"/>
  <c r="H369" i="20"/>
  <c r="D339" i="20"/>
  <c r="O68" i="18" l="1"/>
  <c r="O67" i="18"/>
  <c r="O66" i="18"/>
  <c r="B371" i="20"/>
  <c r="D332" i="20"/>
  <c r="D333" i="20"/>
  <c r="D334" i="20"/>
  <c r="D335" i="20"/>
  <c r="D336" i="20"/>
  <c r="D337" i="20"/>
  <c r="D338" i="20"/>
  <c r="D369" i="20"/>
  <c r="W229" i="18" l="1"/>
  <c r="D80" i="57"/>
  <c r="AD46" i="52" l="1"/>
  <c r="AE46" i="52"/>
  <c r="G46" i="10"/>
  <c r="D331" i="20" l="1"/>
  <c r="D330" i="20" l="1"/>
  <c r="W228" i="18" l="1"/>
  <c r="W227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6" i="18" l="1"/>
  <c r="W225" i="18"/>
  <c r="J117" i="18"/>
  <c r="G116" i="18"/>
  <c r="J116" i="18" s="1"/>
  <c r="G115" i="18"/>
  <c r="J115" i="18" s="1"/>
  <c r="G114" i="18"/>
  <c r="J114" i="18" s="1"/>
  <c r="J118" i="18" l="1"/>
  <c r="Z40" i="52"/>
  <c r="Z39" i="52"/>
  <c r="Z38" i="52"/>
  <c r="AD38" i="52"/>
  <c r="AD39" i="52"/>
  <c r="AD40" i="52"/>
  <c r="AE40" i="52"/>
  <c r="AE39" i="52"/>
  <c r="AE38" i="52"/>
  <c r="R187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24" i="18"/>
  <c r="W223" i="18"/>
  <c r="L35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2" i="18" l="1"/>
  <c r="W221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0" i="18" l="1"/>
  <c r="W21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N22" i="18"/>
  <c r="P28" i="18"/>
  <c r="N28" i="18" s="1"/>
  <c r="W218" i="18" l="1"/>
  <c r="W217" i="18"/>
  <c r="N30" i="52"/>
  <c r="N29" i="52"/>
  <c r="AD27" i="52"/>
  <c r="Z27" i="52"/>
  <c r="AE27" i="52"/>
  <c r="W216" i="18" l="1"/>
  <c r="W215" i="18"/>
  <c r="N28" i="52"/>
  <c r="N27" i="52"/>
  <c r="AD26" i="52" l="1"/>
  <c r="AE26" i="52"/>
  <c r="N37" i="18"/>
  <c r="AL227" i="18" l="1"/>
  <c r="D313" i="20"/>
  <c r="AL226" i="18" l="1"/>
  <c r="AM227" i="18"/>
  <c r="L107" i="18"/>
  <c r="L104" i="18" s="1"/>
  <c r="AM226" i="18" l="1"/>
  <c r="AL225" i="18"/>
  <c r="M107" i="18"/>
  <c r="L100" i="18"/>
  <c r="W214" i="18"/>
  <c r="W213" i="18"/>
  <c r="N24" i="52"/>
  <c r="N26" i="52"/>
  <c r="N25" i="52"/>
  <c r="AL224" i="18" l="1"/>
  <c r="AM225" i="18"/>
  <c r="N59" i="18"/>
  <c r="L102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2" i="18"/>
  <c r="W211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0" i="18"/>
  <c r="W209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3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02" i="18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08" i="18"/>
  <c r="W207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3" i="18"/>
  <c r="F103" i="18" s="1"/>
  <c r="G102" i="18"/>
  <c r="F102" i="18" s="1"/>
  <c r="G101" i="18"/>
  <c r="F101" i="18" s="1"/>
  <c r="G100" i="18"/>
  <c r="F100" i="18" s="1"/>
  <c r="P29" i="18"/>
  <c r="N29" i="18" s="1"/>
  <c r="P23" i="18"/>
  <c r="N23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06" i="18"/>
  <c r="W205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1" i="18"/>
  <c r="L103" i="18"/>
  <c r="J355" i="20" l="1"/>
  <c r="I355" i="20"/>
  <c r="G354" i="20"/>
  <c r="K355" i="20"/>
  <c r="W204" i="18"/>
  <c r="W203" i="18"/>
  <c r="D303" i="20"/>
  <c r="D302" i="20"/>
  <c r="W202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0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0" i="18"/>
  <c r="N48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99" i="18"/>
  <c r="W198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97" i="18"/>
  <c r="W196" i="18"/>
  <c r="G346" i="20" l="1"/>
  <c r="J347" i="20"/>
  <c r="I347" i="20"/>
  <c r="K347" i="20"/>
  <c r="D293" i="20"/>
  <c r="K346" i="20" l="1"/>
  <c r="G345" i="20"/>
  <c r="J346" i="20"/>
  <c r="I346" i="20"/>
  <c r="W195" i="18"/>
  <c r="K345" i="20" l="1"/>
  <c r="G344" i="20"/>
  <c r="J345" i="20"/>
  <c r="I345" i="20"/>
  <c r="D292" i="20"/>
  <c r="C8" i="36"/>
  <c r="W194" i="18"/>
  <c r="N5" i="52"/>
  <c r="I344" i="20" l="1"/>
  <c r="K344" i="20"/>
  <c r="G343" i="20"/>
  <c r="J344" i="20"/>
  <c r="N45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3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5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64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69" i="18"/>
  <c r="W192" i="18"/>
  <c r="D278" i="20"/>
  <c r="J327" i="20" l="1"/>
  <c r="K327" i="20"/>
  <c r="G326" i="20"/>
  <c r="I327" i="20"/>
  <c r="W170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4" i="18"/>
  <c r="I325" i="20" l="1"/>
  <c r="K325" i="20"/>
  <c r="J325" i="20"/>
  <c r="G324" i="20"/>
  <c r="S163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4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3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4" i="18"/>
  <c r="N115" i="18"/>
  <c r="N116" i="18"/>
  <c r="N117" i="18"/>
  <c r="N118" i="18"/>
  <c r="N119" i="18"/>
  <c r="N120" i="18"/>
  <c r="N121" i="18"/>
  <c r="N11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1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0" i="18"/>
  <c r="AM124" i="18" l="1"/>
  <c r="AL123" i="18"/>
  <c r="AM123" i="18" l="1"/>
  <c r="AL122" i="18"/>
  <c r="AL121" i="18" l="1"/>
  <c r="AM122" i="18"/>
  <c r="W184" i="18"/>
  <c r="W185" i="18"/>
  <c r="W186" i="18"/>
  <c r="W187" i="18"/>
  <c r="W188" i="18"/>
  <c r="W189" i="18"/>
  <c r="W201" i="18"/>
  <c r="W183" i="18"/>
  <c r="AM121" i="18" l="1"/>
  <c r="AL120" i="18"/>
  <c r="N50" i="18"/>
  <c r="AM120" i="18" l="1"/>
  <c r="AL119" i="18"/>
  <c r="AM119" i="18" l="1"/>
  <c r="AL118" i="18"/>
  <c r="T167" i="18"/>
  <c r="S65" i="18"/>
  <c r="S66" i="18" s="1"/>
  <c r="S67" i="18" s="1"/>
  <c r="R188" i="18"/>
  <c r="R186" i="18"/>
  <c r="D57" i="51"/>
  <c r="AL117" i="18" l="1"/>
  <c r="AM118" i="18"/>
  <c r="S68" i="18"/>
  <c r="S69" i="18" s="1"/>
  <c r="AM117" i="18" l="1"/>
  <c r="AL116" i="18"/>
  <c r="S70" i="18"/>
  <c r="S71" i="18" s="1"/>
  <c r="S72" i="18" s="1"/>
  <c r="S73" i="18" s="1"/>
  <c r="S74" i="18" s="1"/>
  <c r="N30" i="18"/>
  <c r="Q84" i="18" s="1"/>
  <c r="R185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S75" i="18" l="1"/>
  <c r="S76" i="18" s="1"/>
  <c r="AM115" i="18"/>
  <c r="AL114" i="18"/>
  <c r="R10" i="49"/>
  <c r="R9" i="49"/>
  <c r="S10" i="49" s="1"/>
  <c r="S77" i="18" l="1"/>
  <c r="S78" i="18" s="1"/>
  <c r="S79" i="18" s="1"/>
  <c r="S80" i="18" s="1"/>
  <c r="S81" i="18" s="1"/>
  <c r="S82" i="18" s="1"/>
  <c r="AL113" i="18"/>
  <c r="AM114" i="18"/>
  <c r="S20" i="18"/>
  <c r="S21" i="18" s="1"/>
  <c r="AL112" i="18" l="1"/>
  <c r="AM113" i="18"/>
  <c r="N47" i="18"/>
  <c r="M103" i="18" s="1"/>
  <c r="N103" i="18" l="1"/>
  <c r="AM112" i="18"/>
  <c r="AL111" i="18"/>
  <c r="D108" i="50"/>
  <c r="AL110" i="18" l="1"/>
  <c r="AM111" i="18"/>
  <c r="N46" i="18"/>
  <c r="AL109" i="18" l="1"/>
  <c r="AM110" i="18"/>
  <c r="N102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4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5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1" i="18" l="1"/>
  <c r="N101" i="18" s="1"/>
  <c r="S36" i="18"/>
  <c r="S37" i="18" s="1"/>
  <c r="S38" i="18" s="1"/>
  <c r="AL99" i="18"/>
  <c r="AM100" i="18"/>
  <c r="AL200" i="18"/>
  <c r="AM201" i="18"/>
  <c r="S39" i="18" l="1"/>
  <c r="S40" i="18" s="1"/>
  <c r="S41" i="18" s="1"/>
  <c r="S42" i="18" s="1"/>
  <c r="AM99" i="18"/>
  <c r="AL98" i="18"/>
  <c r="AL199" i="18"/>
  <c r="AM200" i="18"/>
  <c r="P55" i="18"/>
  <c r="S43" i="18" l="1"/>
  <c r="S44" i="18" s="1"/>
  <c r="S45" i="18" s="1"/>
  <c r="AL97" i="18"/>
  <c r="AM98" i="18"/>
  <c r="AL198" i="18"/>
  <c r="AM199" i="18"/>
  <c r="S46" i="18" l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AM97" i="18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60" i="18" s="1"/>
  <c r="R184" i="18" l="1"/>
  <c r="AJ254" i="18"/>
  <c r="AJ255" i="18" s="1"/>
  <c r="AM94" i="18"/>
  <c r="AL93" i="18"/>
  <c r="AL194" i="18"/>
  <c r="AM195" i="18"/>
  <c r="AL92" i="18" l="1"/>
  <c r="AM93" i="18"/>
  <c r="AL193" i="18"/>
  <c r="AM194" i="18"/>
  <c r="S94" i="18"/>
  <c r="S95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6" i="18"/>
  <c r="AL85" i="18" l="1"/>
  <c r="AM86" i="18"/>
  <c r="S97" i="18"/>
  <c r="S98" i="18" s="1"/>
  <c r="S99" i="18" s="1"/>
  <c r="S100" i="18" s="1"/>
  <c r="S101" i="18" s="1"/>
  <c r="S102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3" i="18"/>
  <c r="S104" i="18" s="1"/>
  <c r="S105" i="18" s="1"/>
  <c r="S106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7" i="18" l="1"/>
  <c r="AL77" i="18"/>
  <c r="AM78" i="18"/>
  <c r="N55" i="18"/>
  <c r="G307" i="20" l="1"/>
  <c r="K308" i="20"/>
  <c r="J308" i="20"/>
  <c r="I308" i="20"/>
  <c r="S108" i="18"/>
  <c r="AL76" i="18"/>
  <c r="AM77" i="18"/>
  <c r="S109" i="18" l="1"/>
  <c r="S110" i="18" s="1"/>
  <c r="S111" i="18" s="1"/>
  <c r="S112" i="18" s="1"/>
  <c r="S113" i="18" s="1"/>
  <c r="S114" i="18" s="1"/>
  <c r="G306" i="20"/>
  <c r="J307" i="20"/>
  <c r="I307" i="20"/>
  <c r="K307" i="20"/>
  <c r="AL75" i="18"/>
  <c r="AM76" i="18"/>
  <c r="N49" i="18"/>
  <c r="Q159" i="18" s="1"/>
  <c r="R183" i="18" l="1"/>
  <c r="R193" i="18" s="1"/>
  <c r="T255" i="18" s="1"/>
  <c r="M100" i="18"/>
  <c r="N100" i="18" s="1"/>
  <c r="N107" i="18" s="1"/>
  <c r="AJ171" i="18"/>
  <c r="AJ172" i="18" s="1"/>
  <c r="S115" i="18"/>
  <c r="S116" i="18" s="1"/>
  <c r="S117" i="18" s="1"/>
  <c r="S118" i="18" s="1"/>
  <c r="G305" i="20"/>
  <c r="I306" i="20"/>
  <c r="K306" i="20"/>
  <c r="J306" i="20"/>
  <c r="AL74" i="18"/>
  <c r="AM75" i="18"/>
  <c r="S119" i="18" l="1"/>
  <c r="S120" i="18" s="1"/>
  <c r="S121" i="18" s="1"/>
  <c r="S122" i="18" s="1"/>
  <c r="V258" i="18"/>
  <c r="S172" i="18"/>
  <c r="U268" i="18"/>
  <c r="G304" i="20"/>
  <c r="I305" i="20"/>
  <c r="K305" i="20"/>
  <c r="J305" i="20"/>
  <c r="AL73" i="18"/>
  <c r="AM74" i="18"/>
  <c r="N81" i="18"/>
  <c r="V57" i="18" s="1"/>
  <c r="W57" i="18" l="1"/>
  <c r="X57" i="18"/>
  <c r="V56" i="18"/>
  <c r="W56" i="18" s="1"/>
  <c r="V55" i="18"/>
  <c r="V52" i="18"/>
  <c r="V54" i="18"/>
  <c r="V53" i="18"/>
  <c r="V81" i="18"/>
  <c r="V82" i="18"/>
  <c r="V51" i="18"/>
  <c r="W51" i="18" s="1"/>
  <c r="S123" i="18"/>
  <c r="S124" i="18" s="1"/>
  <c r="V50" i="18"/>
  <c r="V49" i="18"/>
  <c r="V48" i="18"/>
  <c r="W48" i="18" s="1"/>
  <c r="V80" i="18"/>
  <c r="V79" i="18"/>
  <c r="V47" i="18"/>
  <c r="V46" i="18"/>
  <c r="W46" i="18" s="1"/>
  <c r="V78" i="18"/>
  <c r="V75" i="18"/>
  <c r="V77" i="18"/>
  <c r="V76" i="18"/>
  <c r="U172" i="18"/>
  <c r="V172" i="18" s="1"/>
  <c r="V45" i="18"/>
  <c r="X45" i="18" s="1"/>
  <c r="V74" i="18"/>
  <c r="V44" i="18"/>
  <c r="V43" i="18"/>
  <c r="V42" i="18"/>
  <c r="V41" i="18"/>
  <c r="V40" i="18"/>
  <c r="V37" i="18"/>
  <c r="X37" i="18" s="1"/>
  <c r="V39" i="18"/>
  <c r="V38" i="18"/>
  <c r="V36" i="18"/>
  <c r="V33" i="18"/>
  <c r="W33" i="18" s="1"/>
  <c r="V34" i="18"/>
  <c r="V35" i="18"/>
  <c r="V59" i="18"/>
  <c r="V32" i="18"/>
  <c r="X32" i="18" s="1"/>
  <c r="V73" i="18"/>
  <c r="G303" i="20"/>
  <c r="K304" i="20"/>
  <c r="I304" i="20"/>
  <c r="J304" i="20"/>
  <c r="V268" i="18"/>
  <c r="V31" i="18"/>
  <c r="W31" i="18" s="1"/>
  <c r="V72" i="18"/>
  <c r="V121" i="18"/>
  <c r="W121" i="18" s="1"/>
  <c r="V122" i="18"/>
  <c r="V120" i="18"/>
  <c r="V30" i="18"/>
  <c r="W30" i="18" s="1"/>
  <c r="V71" i="18"/>
  <c r="V119" i="18"/>
  <c r="V117" i="18"/>
  <c r="V116" i="18"/>
  <c r="V115" i="18"/>
  <c r="V114" i="18"/>
  <c r="V113" i="18"/>
  <c r="V118" i="18"/>
  <c r="V158" i="18"/>
  <c r="V111" i="18"/>
  <c r="W111" i="18" s="1"/>
  <c r="V112" i="18"/>
  <c r="V29" i="18"/>
  <c r="W29" i="18" s="1"/>
  <c r="V70" i="18"/>
  <c r="V109" i="18"/>
  <c r="W109" i="18" s="1"/>
  <c r="V110" i="18"/>
  <c r="V107" i="18"/>
  <c r="W107" i="18" s="1"/>
  <c r="V108" i="18"/>
  <c r="V106" i="18"/>
  <c r="W106" i="18" s="1"/>
  <c r="V105" i="18"/>
  <c r="V28" i="18"/>
  <c r="V27" i="18"/>
  <c r="W27" i="18" s="1"/>
  <c r="V69" i="18"/>
  <c r="V26" i="18"/>
  <c r="X26" i="18" s="1"/>
  <c r="V68" i="18"/>
  <c r="V83" i="18"/>
  <c r="V67" i="18"/>
  <c r="V104" i="18"/>
  <c r="V66" i="18"/>
  <c r="V103" i="18"/>
  <c r="V25" i="18"/>
  <c r="V102" i="18"/>
  <c r="V24" i="18"/>
  <c r="V22" i="18"/>
  <c r="V23" i="18"/>
  <c r="W23" i="18" s="1"/>
  <c r="V101" i="18"/>
  <c r="V100" i="18"/>
  <c r="V99" i="18"/>
  <c r="V21" i="18"/>
  <c r="V98" i="18"/>
  <c r="V97" i="18"/>
  <c r="V95" i="18"/>
  <c r="V96" i="18"/>
  <c r="V92" i="18"/>
  <c r="V20" i="18"/>
  <c r="V93" i="18"/>
  <c r="V94" i="18"/>
  <c r="AL72" i="18"/>
  <c r="AM73" i="18"/>
  <c r="X56" i="18" l="1"/>
  <c r="X53" i="18"/>
  <c r="W53" i="18"/>
  <c r="W54" i="18"/>
  <c r="X54" i="18"/>
  <c r="W52" i="18"/>
  <c r="X52" i="18"/>
  <c r="X55" i="18"/>
  <c r="W55" i="18"/>
  <c r="X82" i="18"/>
  <c r="W82" i="18"/>
  <c r="W81" i="18"/>
  <c r="X81" i="18"/>
  <c r="X51" i="18"/>
  <c r="V123" i="18"/>
  <c r="W123" i="18" s="1"/>
  <c r="S125" i="18"/>
  <c r="S126" i="18" s="1"/>
  <c r="V124" i="18"/>
  <c r="X124" i="18" s="1"/>
  <c r="W49" i="18"/>
  <c r="X49" i="18"/>
  <c r="W50" i="18"/>
  <c r="X50" i="18"/>
  <c r="X48" i="18"/>
  <c r="W80" i="18"/>
  <c r="X80" i="18"/>
  <c r="W79" i="18"/>
  <c r="X79" i="18"/>
  <c r="W47" i="18"/>
  <c r="X47" i="18"/>
  <c r="X46" i="18"/>
  <c r="W78" i="18"/>
  <c r="X78" i="18"/>
  <c r="W76" i="18"/>
  <c r="X76" i="18"/>
  <c r="W77" i="18"/>
  <c r="X77" i="18"/>
  <c r="W75" i="18"/>
  <c r="X75" i="18"/>
  <c r="W45" i="18"/>
  <c r="X74" i="18"/>
  <c r="W74" i="18"/>
  <c r="X43" i="18"/>
  <c r="W43" i="18"/>
  <c r="W44" i="18"/>
  <c r="X44" i="18"/>
  <c r="W37" i="18"/>
  <c r="X40" i="18"/>
  <c r="W40" i="18"/>
  <c r="W41" i="18"/>
  <c r="X41" i="18"/>
  <c r="W42" i="18"/>
  <c r="X42" i="18"/>
  <c r="W38" i="18"/>
  <c r="X38" i="18"/>
  <c r="W39" i="18"/>
  <c r="X39" i="18"/>
  <c r="W36" i="18"/>
  <c r="X36" i="18"/>
  <c r="X33" i="18"/>
  <c r="W59" i="18"/>
  <c r="X59" i="18"/>
  <c r="W34" i="18"/>
  <c r="X34" i="18"/>
  <c r="W35" i="18"/>
  <c r="X35" i="18"/>
  <c r="W32" i="18"/>
  <c r="X73" i="18"/>
  <c r="W73" i="18"/>
  <c r="S171" i="18"/>
  <c r="G302" i="20"/>
  <c r="K303" i="20"/>
  <c r="I303" i="20"/>
  <c r="J303" i="20"/>
  <c r="X31" i="18"/>
  <c r="W72" i="18"/>
  <c r="X72" i="18"/>
  <c r="X121" i="18"/>
  <c r="X123" i="18"/>
  <c r="W122" i="18"/>
  <c r="X122" i="18"/>
  <c r="X30" i="18"/>
  <c r="W120" i="18"/>
  <c r="X120" i="18"/>
  <c r="W71" i="18"/>
  <c r="X71" i="18"/>
  <c r="W119" i="18"/>
  <c r="X119" i="18"/>
  <c r="X116" i="18"/>
  <c r="W116" i="18"/>
  <c r="W117" i="18"/>
  <c r="X117" i="18"/>
  <c r="W114" i="18"/>
  <c r="X114" i="18"/>
  <c r="W115" i="18"/>
  <c r="X115" i="18"/>
  <c r="W158" i="18"/>
  <c r="X158" i="18"/>
  <c r="X118" i="18"/>
  <c r="W118" i="18"/>
  <c r="W113" i="18"/>
  <c r="X113" i="18"/>
  <c r="X111" i="18"/>
  <c r="W112" i="18"/>
  <c r="X112" i="18"/>
  <c r="X29" i="18"/>
  <c r="W70" i="18"/>
  <c r="X70" i="18"/>
  <c r="X109" i="18"/>
  <c r="W110" i="18"/>
  <c r="X110" i="18"/>
  <c r="X107" i="18"/>
  <c r="W108" i="18"/>
  <c r="X108" i="18"/>
  <c r="X106" i="18"/>
  <c r="W105" i="18"/>
  <c r="X105" i="18"/>
  <c r="W28" i="18"/>
  <c r="X28" i="18"/>
  <c r="X27" i="18"/>
  <c r="W69" i="18"/>
  <c r="X69" i="18"/>
  <c r="W26" i="18"/>
  <c r="W68" i="18"/>
  <c r="X68" i="18"/>
  <c r="W67" i="18"/>
  <c r="X67" i="18"/>
  <c r="W83" i="18"/>
  <c r="X83" i="18"/>
  <c r="S170" i="18"/>
  <c r="S169" i="18"/>
  <c r="U169" i="18" s="1"/>
  <c r="W104" i="18"/>
  <c r="X104" i="18"/>
  <c r="X66" i="18"/>
  <c r="W66" i="18"/>
  <c r="W97" i="18"/>
  <c r="X97" i="18"/>
  <c r="W99" i="18"/>
  <c r="X99" i="18"/>
  <c r="W102" i="18"/>
  <c r="X102" i="18"/>
  <c r="W94" i="18"/>
  <c r="X94" i="18"/>
  <c r="W100" i="18"/>
  <c r="X100" i="18"/>
  <c r="X23" i="18"/>
  <c r="W25" i="18"/>
  <c r="X25" i="18"/>
  <c r="W20" i="18"/>
  <c r="X20" i="18"/>
  <c r="W96" i="18"/>
  <c r="X96" i="18"/>
  <c r="W22" i="18"/>
  <c r="X22" i="18"/>
  <c r="X103" i="18"/>
  <c r="W103" i="18"/>
  <c r="W93" i="18"/>
  <c r="X93" i="18"/>
  <c r="W92" i="18"/>
  <c r="X92" i="18"/>
  <c r="W98" i="18"/>
  <c r="X98" i="18"/>
  <c r="W95" i="18"/>
  <c r="X95" i="18"/>
  <c r="X21" i="18"/>
  <c r="W21" i="18"/>
  <c r="W101" i="18"/>
  <c r="X101" i="18"/>
  <c r="W24" i="18"/>
  <c r="X24" i="18"/>
  <c r="AL71" i="18"/>
  <c r="AM72" i="18"/>
  <c r="W124" i="18" l="1"/>
  <c r="V125" i="18"/>
  <c r="U171" i="18"/>
  <c r="V171" i="18" s="1"/>
  <c r="N33" i="18"/>
  <c r="L21" i="18" s="1"/>
  <c r="U170" i="18"/>
  <c r="V170" i="18" s="1"/>
  <c r="N58" i="18"/>
  <c r="G301" i="20"/>
  <c r="I302" i="20"/>
  <c r="K302" i="20"/>
  <c r="J302" i="20"/>
  <c r="AL70" i="18"/>
  <c r="AM71" i="18"/>
  <c r="X125" i="18" l="1"/>
  <c r="W125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S127" i="18" l="1"/>
  <c r="V126" i="18"/>
  <c r="G299" i="20"/>
  <c r="I300" i="20"/>
  <c r="K300" i="20"/>
  <c r="J300" i="20"/>
  <c r="AL68" i="18"/>
  <c r="AM69" i="18"/>
  <c r="N2" i="33"/>
  <c r="X126" i="18" l="1"/>
  <c r="W126" i="18"/>
  <c r="V127" i="18"/>
  <c r="S12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28" i="18" l="1"/>
  <c r="S129" i="18"/>
  <c r="W127" i="18"/>
  <c r="X127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29" i="18" l="1"/>
  <c r="S130" i="18"/>
  <c r="S131" i="18" s="1"/>
  <c r="X128" i="18"/>
  <c r="W128" i="18"/>
  <c r="G61" i="14"/>
  <c r="E60" i="14"/>
  <c r="I297" i="20"/>
  <c r="K297" i="20"/>
  <c r="J297" i="20"/>
  <c r="G296" i="20"/>
  <c r="AL65" i="18"/>
  <c r="AM66" i="18"/>
  <c r="V130" i="18" l="1"/>
  <c r="W129" i="18"/>
  <c r="X129" i="18"/>
  <c r="E59" i="14"/>
  <c r="G60" i="14"/>
  <c r="G295" i="20"/>
  <c r="K296" i="20"/>
  <c r="I296" i="20"/>
  <c r="J296" i="20"/>
  <c r="AL64" i="18"/>
  <c r="AM65" i="18"/>
  <c r="W130" i="18" l="1"/>
  <c r="X130" i="18"/>
  <c r="E58" i="14"/>
  <c r="G59" i="14"/>
  <c r="G294" i="20"/>
  <c r="K295" i="20"/>
  <c r="J295" i="20"/>
  <c r="I295" i="20"/>
  <c r="AM64" i="18"/>
  <c r="AL63" i="18"/>
  <c r="S132" i="18" l="1"/>
  <c r="V131" i="18"/>
  <c r="G58" i="14"/>
  <c r="E57" i="14"/>
  <c r="G293" i="20"/>
  <c r="I294" i="20"/>
  <c r="J294" i="20"/>
  <c r="K294" i="20"/>
  <c r="AL62" i="18"/>
  <c r="AM63" i="18"/>
  <c r="X131" i="18" l="1"/>
  <c r="W131" i="18"/>
  <c r="S133" i="18"/>
  <c r="V132" i="18"/>
  <c r="G57" i="14"/>
  <c r="E56" i="14"/>
  <c r="G292" i="20"/>
  <c r="K293" i="20"/>
  <c r="J293" i="20"/>
  <c r="I293" i="20"/>
  <c r="AL61" i="18"/>
  <c r="AM62" i="18"/>
  <c r="X132" i="18" l="1"/>
  <c r="W132" i="18"/>
  <c r="S134" i="18"/>
  <c r="S135" i="18" s="1"/>
  <c r="V133" i="18"/>
  <c r="E55" i="14"/>
  <c r="G56" i="14"/>
  <c r="J292" i="20"/>
  <c r="I292" i="20"/>
  <c r="G291" i="20"/>
  <c r="K292" i="20"/>
  <c r="AM61" i="18"/>
  <c r="AL60" i="18"/>
  <c r="X133" i="18" l="1"/>
  <c r="W133" i="18"/>
  <c r="V134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5" i="18" l="1"/>
  <c r="W135" i="18" s="1"/>
  <c r="W134" i="18"/>
  <c r="X134" i="18"/>
  <c r="E53" i="14"/>
  <c r="G54" i="14"/>
  <c r="J290" i="20"/>
  <c r="G289" i="20"/>
  <c r="I290" i="20"/>
  <c r="K290" i="20"/>
  <c r="AM59" i="18"/>
  <c r="AL58" i="18"/>
  <c r="S136" i="18" l="1"/>
  <c r="V136" i="18" s="1"/>
  <c r="G53" i="14"/>
  <c r="E52" i="14"/>
  <c r="X135" i="18"/>
  <c r="G288" i="20"/>
  <c r="K289" i="20"/>
  <c r="J289" i="20"/>
  <c r="I289" i="20"/>
  <c r="AL57" i="18"/>
  <c r="AM58" i="18"/>
  <c r="S137" i="18" l="1"/>
  <c r="S138" i="18" s="1"/>
  <c r="S139" i="18" s="1"/>
  <c r="S140" i="18" s="1"/>
  <c r="S141" i="18" s="1"/>
  <c r="E51" i="14"/>
  <c r="G52" i="14"/>
  <c r="W136" i="18"/>
  <c r="X136" i="18"/>
  <c r="J288" i="20"/>
  <c r="K288" i="20"/>
  <c r="G287" i="20"/>
  <c r="I288" i="20"/>
  <c r="AL56" i="18"/>
  <c r="AM57" i="18"/>
  <c r="B105" i="13"/>
  <c r="B196" i="13" s="1"/>
  <c r="V137" i="18" l="1"/>
  <c r="W137" i="18" s="1"/>
  <c r="V138" i="18"/>
  <c r="W138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37" i="18" l="1"/>
  <c r="X138" i="18"/>
  <c r="E49" i="14"/>
  <c r="G50" i="14"/>
  <c r="G285" i="20"/>
  <c r="J286" i="20"/>
  <c r="I286" i="20"/>
  <c r="K286" i="20"/>
  <c r="AM55" i="18"/>
  <c r="AL54" i="18"/>
  <c r="G49" i="14" l="1"/>
  <c r="E48" i="14"/>
  <c r="V139" i="18"/>
  <c r="G284" i="20"/>
  <c r="K285" i="20"/>
  <c r="J285" i="20"/>
  <c r="I285" i="20"/>
  <c r="AL53" i="18"/>
  <c r="AM54" i="18"/>
  <c r="G48" i="14" l="1"/>
  <c r="E47" i="14"/>
  <c r="W139" i="18"/>
  <c r="X139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40" i="18"/>
  <c r="K280" i="20"/>
  <c r="G279" i="20"/>
  <c r="J280" i="20"/>
  <c r="I280" i="20"/>
  <c r="AL48" i="18"/>
  <c r="AM49" i="18"/>
  <c r="E248" i="15"/>
  <c r="G43" i="14" l="1"/>
  <c r="E42" i="14"/>
  <c r="W140" i="18"/>
  <c r="X140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42" i="18"/>
  <c r="S143" i="18" s="1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41" i="18"/>
  <c r="X141" i="18" s="1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41" i="18"/>
  <c r="G272" i="20"/>
  <c r="J273" i="20"/>
  <c r="K273" i="20"/>
  <c r="I273" i="20"/>
  <c r="AL41" i="18"/>
  <c r="AM42" i="18"/>
  <c r="G36" i="14" l="1"/>
  <c r="E35" i="14"/>
  <c r="V142" i="18"/>
  <c r="W142" i="18" s="1"/>
  <c r="J272" i="20"/>
  <c r="K272" i="20"/>
  <c r="I272" i="20"/>
  <c r="G271" i="20"/>
  <c r="AM41" i="18"/>
  <c r="AL40" i="18"/>
  <c r="G35" i="14" l="1"/>
  <c r="E34" i="14"/>
  <c r="X142" i="18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44" i="18"/>
  <c r="S145" i="18" s="1"/>
  <c r="S146" i="18" s="1"/>
  <c r="V143" i="18"/>
  <c r="I269" i="20"/>
  <c r="K269" i="20"/>
  <c r="J269" i="20"/>
  <c r="G268" i="20"/>
  <c r="AL37" i="18"/>
  <c r="AM38" i="18"/>
  <c r="J57" i="33"/>
  <c r="J55" i="33"/>
  <c r="J54" i="33"/>
  <c r="G32" i="14" l="1"/>
  <c r="E31" i="14"/>
  <c r="W143" i="18"/>
  <c r="X143" i="18"/>
  <c r="V144" i="18"/>
  <c r="J268" i="20"/>
  <c r="I268" i="20"/>
  <c r="G267" i="20"/>
  <c r="K268" i="20"/>
  <c r="AL36" i="18"/>
  <c r="AM37" i="18"/>
  <c r="L57" i="33"/>
  <c r="E241" i="15"/>
  <c r="G31" i="14" l="1"/>
  <c r="E30" i="14"/>
  <c r="W144" i="18"/>
  <c r="X144" i="18"/>
  <c r="I267" i="20"/>
  <c r="K267" i="20"/>
  <c r="G266" i="20"/>
  <c r="J267" i="20"/>
  <c r="AM36" i="18"/>
  <c r="AL35" i="18"/>
  <c r="D168" i="20"/>
  <c r="E29" i="14" l="1"/>
  <c r="G30" i="14"/>
  <c r="V145" i="18"/>
  <c r="W145" i="18" s="1"/>
  <c r="J266" i="20"/>
  <c r="G265" i="20"/>
  <c r="K266" i="20"/>
  <c r="I266" i="20"/>
  <c r="AL34" i="18"/>
  <c r="AM35" i="18"/>
  <c r="E240" i="15"/>
  <c r="E239" i="15"/>
  <c r="X145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46" i="18" l="1"/>
  <c r="W146" i="18" s="1"/>
  <c r="S147" i="18"/>
  <c r="S148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46" i="18" l="1"/>
  <c r="V147" i="18"/>
  <c r="X147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47" i="18" l="1"/>
  <c r="E24" i="14"/>
  <c r="G25" i="14"/>
  <c r="J261" i="20"/>
  <c r="I261" i="20"/>
  <c r="K261" i="20"/>
  <c r="G260" i="20"/>
  <c r="D255" i="15"/>
  <c r="F256" i="15"/>
  <c r="AL29" i="18"/>
  <c r="AM30" i="18"/>
  <c r="V148" i="18" l="1"/>
  <c r="X148" i="18" s="1"/>
  <c r="S149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49" i="18" l="1"/>
  <c r="W149" i="18" s="1"/>
  <c r="S150" i="18"/>
  <c r="W148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X149" i="18" l="1"/>
  <c r="V150" i="18"/>
  <c r="W150" i="18" s="1"/>
  <c r="S151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V151" i="18" l="1"/>
  <c r="W151" i="18" s="1"/>
  <c r="S152" i="18"/>
  <c r="X150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X151" i="18" l="1"/>
  <c r="S153" i="18"/>
  <c r="V152" i="18"/>
  <c r="G255" i="20"/>
  <c r="I256" i="20"/>
  <c r="J256" i="20"/>
  <c r="K256" i="20"/>
  <c r="D250" i="15"/>
  <c r="F251" i="15"/>
  <c r="AL24" i="18"/>
  <c r="AM25" i="18"/>
  <c r="E178" i="13"/>
  <c r="G179" i="13"/>
  <c r="V153" i="18" l="1"/>
  <c r="X153" i="18" s="1"/>
  <c r="S154" i="18"/>
  <c r="W152" i="18"/>
  <c r="X152" i="18"/>
  <c r="G254" i="20"/>
  <c r="J255" i="20"/>
  <c r="I255" i="20"/>
  <c r="K255" i="20"/>
  <c r="D249" i="15"/>
  <c r="F250" i="15"/>
  <c r="AM24" i="18"/>
  <c r="AL23" i="18"/>
  <c r="E177" i="13"/>
  <c r="G178" i="13"/>
  <c r="W153" i="18" l="1"/>
  <c r="V154" i="18"/>
  <c r="X154" i="18" s="1"/>
  <c r="S155" i="18"/>
  <c r="K254" i="20"/>
  <c r="I254" i="20"/>
  <c r="G253" i="20"/>
  <c r="J254" i="20"/>
  <c r="F249" i="15"/>
  <c r="D248" i="15"/>
  <c r="AM23" i="18"/>
  <c r="AL22" i="18"/>
  <c r="E176" i="13"/>
  <c r="G177" i="13"/>
  <c r="D165" i="20"/>
  <c r="V155" i="18" l="1"/>
  <c r="W155" i="18" s="1"/>
  <c r="S156" i="18"/>
  <c r="W154" i="18"/>
  <c r="G252" i="20"/>
  <c r="J253" i="20"/>
  <c r="K253" i="20"/>
  <c r="I253" i="20"/>
  <c r="D247" i="15"/>
  <c r="F248" i="15"/>
  <c r="AL21" i="18"/>
  <c r="AL20" i="18" s="1"/>
  <c r="AM22" i="18"/>
  <c r="E175" i="13"/>
  <c r="G176" i="13"/>
  <c r="D164" i="20"/>
  <c r="X155" i="18" l="1"/>
  <c r="S157" i="18"/>
  <c r="V157" i="18" s="1"/>
  <c r="V156" i="18"/>
  <c r="K252" i="20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60" i="41"/>
  <c r="N608" i="41"/>
  <c r="N611" i="41"/>
  <c r="N635" i="41"/>
  <c r="N688" i="41"/>
  <c r="N736" i="41"/>
  <c r="N915" i="41"/>
  <c r="N995" i="41"/>
  <c r="N1000" i="41"/>
  <c r="N1088" i="41"/>
  <c r="K2337" i="41"/>
  <c r="N10" i="41"/>
  <c r="N15" i="41"/>
  <c r="N66" i="41"/>
  <c r="N95" i="41"/>
  <c r="N175" i="41"/>
  <c r="N191" i="41"/>
  <c r="N210" i="41"/>
  <c r="N215" i="41"/>
  <c r="N250" i="41"/>
  <c r="N263" i="41"/>
  <c r="N320" i="41"/>
  <c r="N328" i="41"/>
  <c r="N330" i="41"/>
  <c r="N360" i="41"/>
  <c r="N370" i="41"/>
  <c r="N383" i="41"/>
  <c r="N410" i="41"/>
  <c r="N440" i="41"/>
  <c r="N471" i="41"/>
  <c r="N480" i="41"/>
  <c r="N520" i="41"/>
  <c r="N535" i="41"/>
  <c r="N570" i="41"/>
  <c r="N591" i="41"/>
  <c r="N641" i="41"/>
  <c r="N696" i="41"/>
  <c r="N775" i="41"/>
  <c r="N784" i="41"/>
  <c r="N800" i="41"/>
  <c r="N840" i="41"/>
  <c r="N850" i="41"/>
  <c r="N880" i="41"/>
  <c r="N895" i="41"/>
  <c r="N905" i="41"/>
  <c r="N935" i="41"/>
  <c r="N951" i="41"/>
  <c r="N975" i="41"/>
  <c r="N1055" i="41"/>
  <c r="N1063" i="41"/>
  <c r="N1113" i="41"/>
  <c r="N1231" i="41"/>
  <c r="N1240" i="41"/>
  <c r="N1255" i="41"/>
  <c r="N1280" i="41"/>
  <c r="N1295" i="41"/>
  <c r="N1320" i="41"/>
  <c r="N1330" i="41"/>
  <c r="N1346" i="41"/>
  <c r="N1360" i="41"/>
  <c r="N1386" i="41"/>
  <c r="N1400" i="41"/>
  <c r="N1410" i="41"/>
  <c r="N1426" i="41"/>
  <c r="N1431" i="41"/>
  <c r="N1455" i="41"/>
  <c r="N1480" i="41"/>
  <c r="N1490" i="41"/>
  <c r="N1495" i="41"/>
  <c r="N1528" i="41"/>
  <c r="N1600" i="41"/>
  <c r="N1640" i="41"/>
  <c r="N1656" i="41"/>
  <c r="N1671" i="41"/>
  <c r="N1720" i="41"/>
  <c r="N1735" i="41"/>
  <c r="N1776" i="41"/>
  <c r="N1800" i="41"/>
  <c r="N1855" i="41"/>
  <c r="N1866" i="41"/>
  <c r="N1895" i="41"/>
  <c r="N2015" i="41"/>
  <c r="N2016" i="41"/>
  <c r="N2050" i="41"/>
  <c r="N2055" i="41"/>
  <c r="N2056" i="41"/>
  <c r="N2080" i="41"/>
  <c r="N2151" i="41"/>
  <c r="N2160" i="41"/>
  <c r="N2175" i="41"/>
  <c r="N2216" i="41"/>
  <c r="N2255" i="41"/>
  <c r="N2295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X2385" i="41" l="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W156" i="18"/>
  <c r="X156" i="18"/>
  <c r="X157" i="18"/>
  <c r="W157" i="18"/>
  <c r="L1672" i="4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1" i="18" l="1"/>
  <c r="F24" i="18" s="1"/>
  <c r="G113" i="20"/>
  <c r="J114" i="20"/>
  <c r="I114" i="20"/>
  <c r="K114" i="20"/>
  <c r="L62" i="18"/>
  <c r="E33" i="13"/>
  <c r="G34" i="13"/>
  <c r="F108" i="15"/>
  <c r="C20" i="18"/>
  <c r="G20" i="14"/>
  <c r="G21" i="14"/>
  <c r="G112" i="20" l="1"/>
  <c r="K113" i="20"/>
  <c r="J113" i="20"/>
  <c r="I113" i="20"/>
  <c r="L6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6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<sst xmlns="http://schemas.openxmlformats.org/spreadsheetml/2006/main" count="11838" uniqueCount="5076">
  <si>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</si>
  <si>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</si>
  <si>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</si>
  <si>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</si>
  <si>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</si>
  <si>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</si>
  <si>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</si>
  <si>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</si>
  <si>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</si>
  <si>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</si>
  <si>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</si>
  <si>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</si>
  <si>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</si>
  <si>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</si>
  <si>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</si>
  <si>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</si>
  <si>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</si>
  <si>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</si>
  <si>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</si>
  <si>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</si>
  <si>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</si>
  <si>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</si>
  <si>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</si>
  <si>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</si>
  <si>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</si>
  <si>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</si>
  <si>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</si>
  <si>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</si>
  <si>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</si>
  <si>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</si>
  <si>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</si>
  <si>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</si>
  <si>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</si>
  <si>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</si>
  <si>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</si>
  <si>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</si>
  <si>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</si>
  <si>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</si>
  <si>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</si>
  <si>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</si>
  <si>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</si>
  <si>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</si>
  <si>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</si>
  <si>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</si>
  <si>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</si>
  <si>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</si>
  <si>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</si>
  <si>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</si>
  <si>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</si>
  <si>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</si>
  <si>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</si>
  <si>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</si>
  <si>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</si>
  <si>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</si>
  <si>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</si>
  <si>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</si>
  <si>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</si>
  <si>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</si>
  <si>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</si>
  <si>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</si>
  <si>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</si>
  <si>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</si>
  <si>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</si>
  <si>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</si>
  <si>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</si>
  <si>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</si>
  <si>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</si>
  <si>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</si>
  <si>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</si>
  <si>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</si>
  <si>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</si>
  <si>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</si>
  <si>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</si>
  <si>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</si>
  <si>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</si>
  <si>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</si>
  <si>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</si>
  <si>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</si>
  <si>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</si>
  <si>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</si>
  <si>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</si>
  <si>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</si>
  <si>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</si>
  <si>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</si>
  <si>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</si>
  <si>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</si>
  <si>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</si>
  <si>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</si>
  <si>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</si>
  <si>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</si>
  <si>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</si>
  <si>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</si>
  <si>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</si>
  <si>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</si>
  <si>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</si>
  <si>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</si>
  <si>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</si>
  <si>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</si>
  <si>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</si>
  <si>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</si>
  <si>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</si>
  <si>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</si>
  <si>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</si>
  <si>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</si>
  <si>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</si>
  <si>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</si>
  <si>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</si>
  <si>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</si>
  <si>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</si>
  <si>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</si>
  <si>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</si>
  <si>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</si>
  <si>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</si>
  <si>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</si>
  <si>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</si>
  <si>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</si>
  <si>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</si>
  <si>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</si>
  <si>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</si>
  <si>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</si>
  <si>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</si>
  <si>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</si>
  <si>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</si>
  <si>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</si>
  <si>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</si>
  <si>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</si>
  <si>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</si>
  <si>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</si>
  <si>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</si>
  <si>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</si>
  <si>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</si>
  <si>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</si>
  <si>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</si>
  <si>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</si>
  <si>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</si>
  <si>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</si>
  <si>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</si>
  <si>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</si>
  <si>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</si>
  <si>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</si>
  <si>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</si>
  <si>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</si>
  <si>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</si>
  <si>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</si>
  <si>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</si>
  <si>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</si>
  <si>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</si>
  <si>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</si>
  <si>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</si>
  <si>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</si>
  <si>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</si>
  <si>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</si>
  <si>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</si>
  <si>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</si>
  <si>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</si>
  <si>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</si>
  <si>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</si>
  <si>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</si>
  <si>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</si>
  <si>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</si>
  <si>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</si>
  <si>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</si>
  <si>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</si>
  <si>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</si>
  <si>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</si>
  <si>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</si>
  <si>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</si>
  <si>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</si>
  <si>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</si>
  <si>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</si>
  <si>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</si>
  <si>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</si>
  <si>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</si>
  <si>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</si>
  <si>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</si>
  <si>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</si>
  <si>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</si>
  <si>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</si>
  <si>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</si>
  <si>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</si>
  <si>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</si>
  <si>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</si>
  <si>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</si>
  <si>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</si>
  <si>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</si>
  <si>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</si>
  <si>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</si>
  <si>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</si>
  <si>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</si>
  <si>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</si>
  <si>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</si>
  <si>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</si>
  <si>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</si>
  <si>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</si>
  <si>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</si>
  <si>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</si>
  <si>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</si>
  <si>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</si>
  <si>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</si>
  <si>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</si>
  <si>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</si>
  <si>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</si>
  <si>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</si>
  <si>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</si>
  <si>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</si>
  <si>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</si>
  <si>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</si>
  <si>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</si>
  <si>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</si>
  <si>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</si>
  <si>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</si>
  <si>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</si>
  <si>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</si>
  <si>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</si>
  <si>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</si>
  <si>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</si>
  <si>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</si>
  <si>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</si>
  <si>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</si>
  <si>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</si>
  <si>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</si>
  <si>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</si>
  <si>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</si>
  <si>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</si>
  <si>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</si>
  <si>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</si>
  <si>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</si>
  <si>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</si>
  <si>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</si>
  <si>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</si>
  <si>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</si>
  <si>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</si>
  <si>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</si>
  <si>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</si>
  <si>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</si>
  <si>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</si>
  <si>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</si>
  <si>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</si>
  <si>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</si>
  <si>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</si>
  <si>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</si>
  <si>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</si>
  <si>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</si>
  <si>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</si>
  <si>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</si>
  <si>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</si>
  <si>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</si>
  <si>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</si>
  <si>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</si>
  <si>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</si>
  <si>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</si>
  <si>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</si>
  <si>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</si>
  <si>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</si>
  <si>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</si>
  <si>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</si>
  <si>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</si>
  <si>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</si>
  <si>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</si>
  <si>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</si>
  <si>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</si>
  <si>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</si>
  <si>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</si>
  <si>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</si>
  <si>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</si>
  <si>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</si>
  <si>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</si>
  <si>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</si>
  <si>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</si>
  <si>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</si>
  <si>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</si>
  <si>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</si>
  <si>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</si>
  <si>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</si>
  <si>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</si>
  <si>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</si>
  <si>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</si>
  <si>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</si>
  <si>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</si>
  <si>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</si>
  <si>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</si>
  <si>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</si>
  <si>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</si>
  <si>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</si>
  <si>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</si>
  <si>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</si>
  <si>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</si>
  <si>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</si>
  <si>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</si>
  <si>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</si>
  <si>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</si>
  <si>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</si>
  <si>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</si>
  <si>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</si>
  <si>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</si>
  <si>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</si>
  <si>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</si>
  <si>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</si>
  <si>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</si>
  <si>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</si>
  <si>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</si>
  <si>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</si>
  <si>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</si>
  <si>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</si>
  <si>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</si>
  <si>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</si>
  <si>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</si>
  <si>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</si>
  <si>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</si>
  <si>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</si>
  <si>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</si>
  <si>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</si>
  <si>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</si>
  <si>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</si>
  <si>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</si>
  <si>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</si>
  <si>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</si>
  <si>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</si>
  <si>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</si>
  <si>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</si>
  <si>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</si>
  <si>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</si>
  <si>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</si>
  <si>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</si>
  <si>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</si>
  <si>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</si>
  <si>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</si>
  <si>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</si>
  <si>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</si>
  <si>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</si>
  <si>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</si>
  <si>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</si>
  <si>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</si>
  <si>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</si>
  <si>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</si>
  <si>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</si>
  <si>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</si>
  <si>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</si>
  <si>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</si>
  <si>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</si>
  <si>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</si>
  <si>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</si>
  <si>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</si>
  <si>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</si>
  <si>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</si>
  <si>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</si>
  <si>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</si>
  <si>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</si>
  <si>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</si>
  <si>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</si>
  <si>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</si>
  <si>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</si>
  <si>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</si>
  <si>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</si>
  <si>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</si>
  <si>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</si>
  <si>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</si>
  <si>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</si>
  <si>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</si>
  <si>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</si>
  <si>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</si>
  <si>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</si>
  <si>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</si>
  <si>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</si>
  <si>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</si>
  <si>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</si>
  <si>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</si>
  <si>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</si>
  <si>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</si>
  <si>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</si>
  <si>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</si>
  <si>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</si>
  <si>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</si>
  <si>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</si>
  <si>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</si>
  <si>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</si>
  <si>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</si>
  <si>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</si>
  <si>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</si>
  <si>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</si>
  <si>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</si>
  <si>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</si>
  <si>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</si>
  <si>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</si>
  <si>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</si>
  <si>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</si>
  <si>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</si>
  <si>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</si>
  <si>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</si>
  <si>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</si>
  <si>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</si>
  <si>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</si>
  <si>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</si>
  <si>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</si>
  <si>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</si>
  <si>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</si>
  <si>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</si>
  <si>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</si>
  <si>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</si>
  <si>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</si>
  <si>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</si>
  <si>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</si>
  <si>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</si>
  <si>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</si>
  <si>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</si>
  <si>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</si>
  <si>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</si>
  <si>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</si>
  <si>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</si>
  <si>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</si>
  <si>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</si>
  <si>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</si>
  <si>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</si>
  <si>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</si>
  <si>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</si>
  <si>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</si>
  <si>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</si>
  <si>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</si>
  <si>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</si>
  <si>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</si>
  <si>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</si>
  <si>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</si>
  <si>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</si>
  <si>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</si>
  <si>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</si>
  <si>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</si>
  <si>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</si>
  <si>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</si>
  <si>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</si>
  <si>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</si>
  <si>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</si>
  <si>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</si>
  <si>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</si>
  <si>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</si>
  <si>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</si>
  <si>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</si>
  <si>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</si>
  <si>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</si>
  <si>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</si>
  <si>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</si>
  <si>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</si>
  <si>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</si>
  <si>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</si>
  <si>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</si>
  <si>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</si>
  <si>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</si>
  <si>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</si>
  <si>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</si>
  <si>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</si>
  <si>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</si>
  <si>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</si>
  <si>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</si>
  <si>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</si>
  <si>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</si>
  <si>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</si>
  <si>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</si>
  <si>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</si>
  <si>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</si>
  <si>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</si>
  <si>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</si>
  <si>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</si>
  <si>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</si>
  <si>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</si>
  <si>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</si>
  <si>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</si>
  <si>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</si>
  <si>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</si>
  <si>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</si>
  <si>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</si>
  <si>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</si>
  <si>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</si>
  <si>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</si>
  <si>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</si>
  <si>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</si>
  <si>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</si>
  <si>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</si>
  <si>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</si>
  <si>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</si>
  <si>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</si>
  <si>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</si>
  <si>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</si>
  <si>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</si>
  <si>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</si>
  <si>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</si>
  <si>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</si>
  <si>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</si>
  <si>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</si>
  <si>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</si>
  <si>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</si>
  <si>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</si>
  <si>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</si>
  <si>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</si>
  <si>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</si>
  <si>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</si>
  <si>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</si>
  <si>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</si>
  <si>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</si>
  <si>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</si>
  <si>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</si>
  <si>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</si>
  <si>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</si>
  <si>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</si>
  <si>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</si>
  <si>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</si>
  <si>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</si>
  <si>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</si>
  <si>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</si>
  <si>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</si>
  <si>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</si>
  <si>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</si>
  <si>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</si>
  <si>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</si>
  <si>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</si>
  <si>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</si>
  <si>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</si>
  <si>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</si>
  <si>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</si>
  <si>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</si>
  <si>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</si>
  <si>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</si>
  <si>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</si>
  <si>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</si>
  <si>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</si>
  <si>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</si>
  <si>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</si>
  <si>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</si>
  <si>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</si>
  <si>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</si>
  <si>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</si>
  <si>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</si>
  <si>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</si>
  <si>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</si>
  <si>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</si>
  <si>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</si>
  <si>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</si>
  <si>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</si>
  <si>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</si>
  <si>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</si>
  <si>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</si>
  <si>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</si>
  <si>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</si>
  <si>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</si>
  <si>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</si>
  <si>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</si>
  <si>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</si>
  <si>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</si>
  <si>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</si>
  <si>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</si>
  <si>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</si>
  <si>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</si>
  <si>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</si>
  <si>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</si>
  <si>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</si>
  <si>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</si>
  <si>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</si>
  <si>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</si>
  <si>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</si>
  <si>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</si>
  <si>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</si>
  <si>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</si>
  <si>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</si>
  <si>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</si>
  <si>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</si>
  <si>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</si>
  <si>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</si>
  <si>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</si>
  <si>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</si>
  <si>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</si>
  <si>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</si>
  <si>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</si>
  <si>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</si>
  <si>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</si>
  <si>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</si>
  <si>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</si>
  <si>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</si>
  <si>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</si>
  <si>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</si>
  <si>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</si>
  <si>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</si>
  <si>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</si>
  <si>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</si>
  <si>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</si>
  <si>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</si>
  <si>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</si>
  <si>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</si>
  <si>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</si>
  <si>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</si>
  <si>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</si>
  <si>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</si>
  <si>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</si>
  <si>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</si>
  <si>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</si>
  <si>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</si>
  <si>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</si>
  <si>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</si>
  <si>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</si>
  <si>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</si>
  <si>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</si>
  <si>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</si>
  <si>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</si>
  <si>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</si>
  <si>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</si>
  <si>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</si>
  <si>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</si>
  <si>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</si>
  <si>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</si>
  <si>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</si>
  <si>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</si>
  <si>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</si>
  <si>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</si>
  <si>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</si>
  <si>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</si>
  <si>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</si>
  <si>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</si>
  <si>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</si>
  <si>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</si>
  <si>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</si>
  <si>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</si>
  <si>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</si>
  <si>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</si>
  <si>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</si>
  <si>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</si>
  <si>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</si>
  <si>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</si>
  <si>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</si>
  <si>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</si>
  <si>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</si>
  <si>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</si>
  <si>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</si>
  <si>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</si>
  <si>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</si>
  <si>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</si>
  <si>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</si>
  <si>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</si>
  <si>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</si>
  <si>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</si>
  <si>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</si>
  <si>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</si>
  <si>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</si>
  <si>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</si>
  <si>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</si>
  <si>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</si>
  <si>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</si>
  <si>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</si>
  <si>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</si>
  <si>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</si>
  <si>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</si>
  <si>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</si>
  <si>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</si>
  <si>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</si>
  <si>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</si>
  <si>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</si>
  <si>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</si>
  <si>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</si>
  <si>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</si>
  <si>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</si>
  <si>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</si>
  <si>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</si>
  <si>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</si>
  <si>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</si>
  <si>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</si>
  <si>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</si>
  <si>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</si>
  <si>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</si>
  <si>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</si>
  <si>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</si>
  <si>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</si>
  <si>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</si>
  <si>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</si>
  <si>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</si>
  <si>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</si>
  <si>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</si>
  <si>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</si>
  <si>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</si>
  <si>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</si>
  <si>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</si>
  <si>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</si>
  <si>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</si>
  <si>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</si>
  <si>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</si>
  <si>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</si>
  <si>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</si>
  <si>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</si>
  <si>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</si>
  <si>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</si>
  <si>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</si>
  <si>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</si>
  <si>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</si>
  <si>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</si>
  <si>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</si>
  <si>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</si>
  <si>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</si>
  <si>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</si>
  <si>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</si>
  <si>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</si>
  <si>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</si>
  <si>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</si>
  <si>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</si>
  <si>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</si>
  <si>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</si>
  <si>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</si>
  <si>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</si>
  <si>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</si>
  <si>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</si>
  <si>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</si>
  <si>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</si>
  <si>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</si>
  <si>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</si>
  <si>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</si>
  <si>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</si>
  <si>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</si>
  <si>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</si>
  <si>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</si>
  <si>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</si>
  <si>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</si>
  <si>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</si>
  <si>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</si>
  <si>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</si>
  <si>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</si>
  <si>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</si>
  <si>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</si>
  <si>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</si>
  <si>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</si>
  <si>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</si>
  <si>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</si>
  <si>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</si>
  <si>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</si>
  <si>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</si>
  <si>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</si>
  <si>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</si>
  <si>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</si>
  <si>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</si>
  <si>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</si>
  <si>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</si>
  <si>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</si>
  <si>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</si>
  <si>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</si>
  <si>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</si>
  <si>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</si>
  <si>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</si>
  <si>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</si>
  <si>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</si>
  <si>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</si>
  <si>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</si>
  <si>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</si>
  <si>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</si>
  <si>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</si>
  <si>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</si>
  <si>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</si>
  <si>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</si>
  <si>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</si>
  <si>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</si>
  <si>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</si>
  <si>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</si>
  <si>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</si>
  <si>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</si>
  <si>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</si>
  <si>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</si>
  <si>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</si>
  <si>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</si>
  <si>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</si>
  <si>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</si>
  <si>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</si>
  <si>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</si>
  <si>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</si>
  <si>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</si>
  <si>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</si>
  <si>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</si>
  <si>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</si>
  <si>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</si>
  <si>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</si>
  <si>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</si>
  <si>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</si>
  <si>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</si>
  <si>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</si>
  <si>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</si>
  <si>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</si>
  <si>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</si>
  <si>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</si>
  <si>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</si>
  <si>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</si>
  <si>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</si>
  <si>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</si>
  <si>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</si>
  <si>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</si>
  <si>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</si>
  <si>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</si>
  <si>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</si>
  <si>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</si>
  <si>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</si>
  <si>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</si>
  <si>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</si>
  <si>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</si>
  <si>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</si>
  <si>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</si>
  <si>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</si>
  <si>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</si>
  <si>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</si>
  <si>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</si>
  <si>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</si>
  <si>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</si>
  <si>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</si>
  <si>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</si>
  <si>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</si>
  <si>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</si>
  <si>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</si>
  <si>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</si>
  <si>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</si>
  <si>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</si>
  <si>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</si>
  <si>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</si>
  <si>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</si>
  <si>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</si>
  <si>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</si>
  <si>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</si>
  <si>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</si>
  <si>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</si>
  <si>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</si>
  <si>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</si>
  <si>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</si>
  <si>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</si>
  <si>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</si>
  <si>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</si>
  <si>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</si>
  <si>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</si>
  <si>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</si>
  <si>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</si>
  <si>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</si>
  <si>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</si>
  <si>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</si>
  <si>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</si>
  <si>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</si>
  <si>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</si>
  <si>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</si>
  <si>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</si>
  <si>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</si>
  <si>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</si>
  <si>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</si>
  <si>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</si>
  <si>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</si>
  <si>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</si>
  <si>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</si>
  <si>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</si>
  <si>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</si>
  <si>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</si>
  <si>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</si>
  <si>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</si>
  <si>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</si>
  <si>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</si>
  <si>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</si>
  <si>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</si>
  <si>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</si>
  <si>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</si>
  <si>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</si>
  <si>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</si>
  <si>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</si>
  <si>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</si>
  <si>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</si>
  <si>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</si>
  <si>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</si>
  <si>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</si>
  <si>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</si>
  <si>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</si>
  <si>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</si>
  <si>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</si>
  <si>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</si>
  <si>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</si>
  <si>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</si>
  <si>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</si>
  <si>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</si>
  <si>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</si>
  <si>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</si>
  <si>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</si>
  <si>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</si>
  <si>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</si>
  <si>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</si>
  <si>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</si>
  <si>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</si>
  <si>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</si>
  <si>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</si>
  <si>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</si>
  <si>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</si>
  <si>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</si>
  <si>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</si>
  <si>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</si>
  <si>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</si>
  <si>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</si>
  <si>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</si>
  <si>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</si>
  <si>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</si>
  <si>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</si>
  <si>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</si>
  <si>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</si>
  <si>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</si>
  <si>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</si>
  <si>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</si>
  <si>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</si>
  <si>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</si>
  <si>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</si>
  <si>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</si>
  <si>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</si>
  <si>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</si>
  <si>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</si>
  <si>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</si>
  <si>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</si>
  <si>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</si>
  <si>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</si>
  <si>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</si>
  <si>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</si>
  <si>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</si>
  <si>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</si>
  <si>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</si>
  <si>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</si>
  <si>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</si>
  <si>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</si>
  <si>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</si>
  <si>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</si>
  <si>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</si>
  <si>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</si>
  <si>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</si>
  <si>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</si>
  <si>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</si>
  <si>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</si>
  <si>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</si>
  <si>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</si>
  <si>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</si>
  <si>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</si>
  <si>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</si>
  <si>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</si>
  <si>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</si>
  <si>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</si>
  <si>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</si>
  <si>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</si>
  <si>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</si>
  <si>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</si>
  <si>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</si>
  <si>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</si>
  <si>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</si>
  <si>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</si>
  <si>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</si>
  <si>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</si>
  <si>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</si>
  <si>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</si>
  <si>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</si>
  <si>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</si>
  <si>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</si>
  <si>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</si>
  <si>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</si>
  <si>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</si>
  <si>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</si>
  <si>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</si>
  <si>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</si>
  <si>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</si>
  <si>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</si>
  <si>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</si>
  <si>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</si>
  <si>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</si>
  <si>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</si>
  <si>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</si>
  <si>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</si>
  <si>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</si>
  <si>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</si>
  <si>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</si>
  <si>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</si>
  <si>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</si>
  <si>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</si>
  <si>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</si>
  <si>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</si>
  <si>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</si>
  <si>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</si>
  <si>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</si>
  <si>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</si>
  <si>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</si>
  <si>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</si>
  <si>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</si>
  <si>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</si>
  <si>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</si>
  <si>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</si>
  <si>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</si>
  <si>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</si>
  <si>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</si>
  <si>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</si>
  <si>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</si>
  <si>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</si>
  <si>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</si>
  <si>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</si>
  <si>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</si>
  <si>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</si>
  <si>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</si>
  <si>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</si>
  <si>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</si>
  <si>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</si>
  <si>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</si>
  <si>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</si>
  <si>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</si>
  <si>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</si>
  <si>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</si>
  <si>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</si>
  <si>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</si>
  <si>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</si>
  <si>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</si>
  <si>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</si>
  <si>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</si>
  <si>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</si>
  <si>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</si>
  <si>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</si>
  <si>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</si>
  <si>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</si>
  <si>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</si>
  <si>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</si>
  <si>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</si>
  <si>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</si>
  <si>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</si>
  <si>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</si>
  <si>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</si>
  <si>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</si>
  <si>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</si>
  <si>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</si>
  <si>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</si>
  <si>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</si>
  <si>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</si>
  <si>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</si>
  <si>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</si>
  <si>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</si>
  <si>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</si>
  <si>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</si>
  <si>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</si>
  <si>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</si>
  <si>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</si>
  <si>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</si>
  <si>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</si>
  <si>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</si>
  <si>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</si>
  <si>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</si>
  <si>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</si>
  <si>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</si>
  <si>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</si>
  <si>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</si>
  <si>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</si>
  <si>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</si>
  <si>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</si>
  <si>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</si>
  <si>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</si>
  <si>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</si>
  <si>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</si>
  <si>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</si>
  <si>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</si>
  <si>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</si>
  <si>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</si>
  <si>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</si>
  <si>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</si>
  <si>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</si>
  <si>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</si>
  <si>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</si>
  <si>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</si>
  <si>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</si>
  <si>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</si>
  <si>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</si>
  <si>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</si>
  <si>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</si>
  <si>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</si>
  <si>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</si>
  <si>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</si>
  <si>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</si>
  <si>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</si>
  <si>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</si>
  <si>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</si>
  <si>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</si>
  <si>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</si>
  <si>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</si>
  <si>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</si>
  <si>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</si>
  <si>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</si>
  <si>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</si>
  <si>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</si>
  <si>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</si>
  <si>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</si>
  <si>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</si>
  <si>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</si>
  <si>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</si>
  <si>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</si>
  <si>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</si>
  <si>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</si>
  <si>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</si>
  <si>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</si>
  <si>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</si>
  <si>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</si>
  <si>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</si>
  <si>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</si>
  <si>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</si>
  <si>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</si>
  <si>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</si>
  <si>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</si>
  <si>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</si>
  <si>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</si>
  <si>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</si>
  <si>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</si>
  <si>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</si>
  <si>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</si>
  <si>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</si>
  <si>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</si>
  <si>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</si>
  <si>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</si>
  <si>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</si>
  <si>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</si>
  <si>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</si>
  <si>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</si>
  <si>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</si>
  <si>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</si>
  <si>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</si>
  <si>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</si>
  <si>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</si>
  <si>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</si>
  <si>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</si>
  <si>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</si>
  <si>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</si>
  <si>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</si>
  <si>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</si>
  <si>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</si>
  <si>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</si>
  <si>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</si>
  <si>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</si>
  <si>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</si>
  <si>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</si>
  <si>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</si>
  <si>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</si>
  <si>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</si>
  <si>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</si>
  <si>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</si>
  <si>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</si>
  <si>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</si>
  <si>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</si>
  <si>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</si>
  <si>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</si>
  <si>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</si>
  <si>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</si>
  <si>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</si>
  <si>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</si>
  <si>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</si>
  <si>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</si>
  <si>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</si>
  <si>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</si>
  <si>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</si>
  <si>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</si>
  <si>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</si>
  <si>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</si>
  <si>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</si>
  <si>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</si>
  <si>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</si>
  <si>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</si>
  <si>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</si>
  <si>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</si>
  <si>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</si>
  <si>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</si>
  <si>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</si>
  <si>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</si>
  <si>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</si>
  <si>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</si>
  <si>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</si>
  <si>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</si>
  <si>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</si>
  <si>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</si>
  <si>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</si>
  <si>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</si>
  <si>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</si>
  <si>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</si>
  <si>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</si>
  <si>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</si>
  <si>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</si>
  <si>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</si>
  <si>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</si>
  <si>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</si>
  <si>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</si>
  <si>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</si>
  <si>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</si>
  <si>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</si>
  <si>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</si>
  <si>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</si>
  <si>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</si>
  <si>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</si>
  <si>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</si>
  <si>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</si>
  <si>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</si>
  <si>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</si>
  <si>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</si>
  <si>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</si>
  <si>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</si>
  <si>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</si>
  <si>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</si>
  <si>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</si>
  <si>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</si>
  <si>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</si>
  <si>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</si>
  <si>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</si>
  <si>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</si>
  <si>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</si>
  <si>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</si>
  <si>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</si>
  <si>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</si>
  <si>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</si>
  <si>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</si>
  <si>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</si>
  <si>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</si>
  <si>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</si>
  <si>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</si>
  <si>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</si>
  <si>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</si>
  <si>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</si>
  <si>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</si>
  <si>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</si>
  <si>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</si>
  <si>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</si>
  <si>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</si>
  <si>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</si>
  <si>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</si>
  <si>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</si>
  <si>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</si>
  <si>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</si>
  <si>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</si>
  <si>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</si>
  <si>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</si>
  <si>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</si>
  <si>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</si>
  <si>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</si>
  <si>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</si>
  <si>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</si>
  <si>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</si>
  <si>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</si>
  <si>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</si>
  <si>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</si>
  <si>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</si>
  <si>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</si>
  <si>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</si>
  <si>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</si>
  <si>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</si>
  <si>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</si>
  <si>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</si>
  <si>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</si>
  <si>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</si>
  <si>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</si>
  <si>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</si>
  <si>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</si>
  <si>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</si>
  <si>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</si>
  <si>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</si>
  <si>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</si>
  <si>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</si>
  <si>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</si>
  <si>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</si>
  <si>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</si>
  <si>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</si>
  <si>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</si>
  <si>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</si>
  <si>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</si>
  <si>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</si>
  <si>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</si>
  <si>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</si>
  <si>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</si>
  <si>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</si>
  <si>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</si>
  <si>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</si>
  <si>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</si>
  <si>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</si>
  <si>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</si>
  <si>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</si>
  <si>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</si>
  <si>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</si>
  <si>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</si>
  <si>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</si>
  <si>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</si>
  <si>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</si>
  <si>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</si>
  <si>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</si>
  <si>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</si>
  <si>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</si>
  <si>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</si>
  <si>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</si>
  <si>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</si>
  <si>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</si>
  <si>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</si>
  <si>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</si>
  <si>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</si>
  <si>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</si>
  <si>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</si>
  <si>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</si>
  <si>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</si>
  <si>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</si>
  <si>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</si>
  <si>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</si>
  <si>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</si>
  <si>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</si>
  <si>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</si>
  <si>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</si>
  <si>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</si>
  <si>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</si>
  <si>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</si>
  <si>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</si>
  <si>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</si>
  <si>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</si>
  <si>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</si>
  <si>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</si>
  <si>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</si>
  <si>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</si>
  <si>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</si>
  <si>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</si>
  <si>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</si>
  <si>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</si>
  <si>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</si>
  <si>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</si>
  <si>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</si>
  <si>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</si>
  <si>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</si>
  <si>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</si>
  <si>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</si>
  <si>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</si>
  <si>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</si>
  <si>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</si>
  <si>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</si>
  <si>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</si>
  <si>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</si>
  <si>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</si>
  <si>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</si>
  <si>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</si>
  <si>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</si>
  <si>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</si>
  <si>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</si>
  <si>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</si>
  <si>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</si>
  <si>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</si>
  <si>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</si>
  <si>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</si>
  <si>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</si>
  <si>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</si>
  <si>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</si>
  <si>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</si>
  <si>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</si>
  <si>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</si>
  <si>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</si>
  <si>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</si>
  <si>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</si>
  <si>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</si>
  <si>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</si>
  <si>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</si>
  <si>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</si>
  <si>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</si>
  <si>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</si>
  <si>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</si>
  <si>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</si>
  <si>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</si>
  <si>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</si>
  <si>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</si>
  <si>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</si>
  <si>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</si>
  <si>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</si>
  <si>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</si>
  <si>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</si>
  <si>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</si>
  <si>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</si>
  <si>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</si>
  <si>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</si>
  <si>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</si>
  <si>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</si>
  <si>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</si>
  <si>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</si>
  <si>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</si>
  <si>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</si>
  <si>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</si>
  <si>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</si>
  <si>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</si>
  <si>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</si>
  <si>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</si>
  <si>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</si>
  <si>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</si>
  <si>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</si>
  <si>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</si>
  <si>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</si>
  <si>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</si>
  <si>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</si>
  <si>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</si>
  <si>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</si>
  <si>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</si>
  <si>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</si>
  <si>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</si>
  <si>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</si>
  <si>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</si>
  <si>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</si>
  <si>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</si>
  <si>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</si>
  <si>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</si>
  <si>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</si>
  <si>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</si>
  <si>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</si>
  <si>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</si>
  <si>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</si>
  <si>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</si>
  <si>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</si>
  <si>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</si>
  <si>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</si>
  <si>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</si>
  <si>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</si>
  <si>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</si>
  <si>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</si>
  <si>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</si>
  <si>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</si>
  <si>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</si>
  <si>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</si>
  <si>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</si>
  <si>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</si>
  <si>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</si>
  <si>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</si>
  <si>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</si>
  <si>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</si>
  <si>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</si>
  <si>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</si>
  <si>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</si>
  <si>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</si>
  <si>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</si>
  <si>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</si>
  <si>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</si>
  <si>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</si>
  <si>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</si>
  <si>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</si>
  <si>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</si>
  <si>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</si>
  <si>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</si>
  <si>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</si>
  <si>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</si>
  <si>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</si>
  <si>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</si>
  <si>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</si>
  <si>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</si>
  <si>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</si>
  <si>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</si>
  <si>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</si>
  <si>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</si>
  <si>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</si>
  <si>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</si>
  <si>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</si>
  <si>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</si>
  <si>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</si>
  <si>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</si>
  <si>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</si>
  <si>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</si>
  <si>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</si>
  <si>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</si>
  <si>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</si>
  <si>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</si>
  <si>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</si>
  <si>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</si>
  <si>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</si>
  <si>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</si>
  <si>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</si>
  <si>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</si>
  <si>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</si>
  <si>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</si>
  <si>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</si>
  <si>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</si>
  <si>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</si>
  <si>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</si>
  <si>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</si>
  <si>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</si>
  <si>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</si>
  <si>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</si>
  <si>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</si>
  <si>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</si>
  <si>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</si>
  <si>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</si>
  <si>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</si>
  <si>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</si>
  <si>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</si>
  <si>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</si>
  <si>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</si>
  <si>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</si>
  <si>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</si>
  <si>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</si>
  <si>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</si>
  <si>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</si>
  <si>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</si>
  <si>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</si>
  <si>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</si>
  <si>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</si>
  <si>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</si>
  <si>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</si>
  <si>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</si>
  <si>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</si>
  <si>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</si>
  <si>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</si>
  <si>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</si>
  <si>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</si>
  <si>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</si>
  <si>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</si>
  <si>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</si>
  <si>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</si>
  <si>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</si>
  <si>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</si>
  <si>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</si>
  <si>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</si>
  <si>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</si>
  <si>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</si>
  <si>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</si>
  <si>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</si>
  <si>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</si>
  <si>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</si>
  <si>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</si>
  <si>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</si>
  <si>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</si>
  <si>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</si>
  <si>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</si>
  <si>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</si>
  <si>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</si>
  <si>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</si>
  <si>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</si>
  <si>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</si>
  <si>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</si>
  <si>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</si>
  <si>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</si>
  <si>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</si>
  <si>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</si>
  <si>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</si>
  <si>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</si>
  <si>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</si>
  <si>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</si>
  <si>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</si>
  <si>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</si>
  <si>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</si>
  <si>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</si>
  <si>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</si>
  <si>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</si>
  <si>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</si>
  <si>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</si>
  <si>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</si>
  <si>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</si>
  <si>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</si>
  <si>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</si>
  <si>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</si>
  <si>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</si>
  <si>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</si>
  <si>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</si>
  <si>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</si>
  <si>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</si>
  <si>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</si>
  <si>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</si>
  <si>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</si>
  <si>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</si>
  <si>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</si>
  <si>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</si>
  <si>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</si>
  <si>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</si>
  <si>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</si>
  <si>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</si>
  <si>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</si>
  <si>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</si>
  <si>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</si>
  <si>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</si>
  <si>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</si>
  <si>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</si>
  <si>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</si>
  <si>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</si>
  <si>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</si>
  <si>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</si>
  <si>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</si>
  <si>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</si>
  <si>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</si>
  <si>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</si>
  <si>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</si>
  <si>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</si>
  <si>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</si>
  <si>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</si>
  <si>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</si>
  <si>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</si>
  <si>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</si>
  <si>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</si>
  <si>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</si>
  <si>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</si>
  <si>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</si>
  <si>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</si>
  <si>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</si>
  <si>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</si>
  <si>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</si>
  <si>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</si>
  <si>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</si>
  <si>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</si>
  <si>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</si>
  <si>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</si>
  <si>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</si>
  <si>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</si>
  <si>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</si>
  <si>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</si>
  <si>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</si>
  <si>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</si>
  <si>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</si>
  <si>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</si>
  <si>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</si>
  <si>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</si>
  <si>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</si>
  <si>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</si>
  <si>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</si>
  <si>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</si>
  <si>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</si>
  <si>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</si>
  <si>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</si>
  <si>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</si>
  <si>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</si>
  <si>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</si>
  <si>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</si>
  <si>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</si>
  <si>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</si>
  <si>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</si>
  <si>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</si>
  <si>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</si>
  <si>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</si>
  <si>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</si>
  <si>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</si>
  <si>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</si>
  <si>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</si>
  <si>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</si>
  <si>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</si>
  <si>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</si>
  <si>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</si>
  <si>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</si>
  <si>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</si>
  <si>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</si>
  <si>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</si>
  <si>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</si>
  <si>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</si>
  <si>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</si>
  <si>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</si>
  <si>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</si>
  <si>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</si>
  <si>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</si>
  <si>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</si>
  <si>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</si>
  <si>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</si>
  <si>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</si>
  <si>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</si>
  <si>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</si>
  <si>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</si>
  <si>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</si>
  <si>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</si>
  <si>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</si>
  <si>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</si>
  <si>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</si>
  <si>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</si>
  <si>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</si>
  <si>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</si>
  <si>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</si>
  <si>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</si>
  <si>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</si>
  <si>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</si>
  <si>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</si>
  <si>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</si>
  <si>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</si>
  <si>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</si>
  <si>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</si>
  <si>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</si>
  <si>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</si>
  <si>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</si>
  <si>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</si>
  <si>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</si>
  <si>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</si>
  <si>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</si>
  <si>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</si>
  <si>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</si>
  <si>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</si>
  <si>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</si>
  <si>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</si>
  <si>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</si>
  <si>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</si>
  <si>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</si>
  <si>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</si>
  <si>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</si>
  <si>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</si>
  <si>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</si>
  <si>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</si>
  <si>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</si>
  <si>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</si>
  <si>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</si>
  <si>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</si>
  <si>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</si>
  <si>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</si>
  <si>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</si>
  <si>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</si>
  <si>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</si>
  <si>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</si>
  <si>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</si>
  <si>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</si>
  <si>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</si>
  <si>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</si>
  <si>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</si>
  <si>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</si>
  <si>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</si>
  <si>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</si>
  <si>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</si>
  <si>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</si>
  <si>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</si>
  <si>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</si>
  <si>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</si>
  <si>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</si>
  <si>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</si>
  <si>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</si>
  <si>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</si>
  <si>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</si>
  <si>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</si>
  <si>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</si>
  <si>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</si>
  <si>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</si>
  <si>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</si>
  <si>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</si>
  <si>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</si>
  <si>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</si>
  <si>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</si>
  <si>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</si>
  <si>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</si>
  <si>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</si>
  <si>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</si>
  <si>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</si>
  <si>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</si>
  <si>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</si>
  <si>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</si>
  <si>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</si>
  <si>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</si>
  <si>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</si>
  <si>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</si>
  <si>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</si>
  <si>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</si>
  <si>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</si>
  <si>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</si>
  <si>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</si>
  <si>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</si>
  <si>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</si>
  <si>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</si>
  <si>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</si>
  <si>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</si>
  <si>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</si>
  <si>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</si>
  <si>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</si>
  <si>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</si>
  <si>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</si>
  <si>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</si>
  <si>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</si>
  <si>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</si>
  <si>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</si>
  <si>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</si>
  <si>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</si>
  <si>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</si>
  <si>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</si>
  <si>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</si>
  <si>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</si>
  <si>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</si>
  <si>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</si>
  <si>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</si>
  <si>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</si>
  <si>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</si>
  <si>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</si>
  <si>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</si>
  <si>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</si>
  <si>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</si>
  <si>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</si>
  <si>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</si>
  <si>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</si>
  <si>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</si>
  <si>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</si>
  <si>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</si>
  <si>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</si>
  <si>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</si>
  <si>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</si>
  <si>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</si>
  <si>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</si>
  <si>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</si>
  <si>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</si>
  <si>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</si>
  <si>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</si>
  <si>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</si>
  <si>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</si>
  <si>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</si>
  <si>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</si>
  <si>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</si>
  <si>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</si>
  <si>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</si>
  <si>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</si>
  <si>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</si>
  <si>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</si>
  <si>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</si>
  <si>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</si>
  <si>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</si>
  <si>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</si>
  <si>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</si>
  <si>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</si>
  <si>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</si>
  <si>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</si>
  <si>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</si>
  <si>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</si>
  <si>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</si>
  <si>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</si>
  <si>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</si>
  <si>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</si>
  <si>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</si>
  <si>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</si>
  <si>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</si>
  <si>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</si>
  <si>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</si>
  <si>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</si>
  <si>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</si>
  <si>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</si>
  <si>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</si>
  <si>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</si>
  <si>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</si>
  <si>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</si>
  <si>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</si>
  <si>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</si>
  <si>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</si>
  <si>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</si>
  <si>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</si>
  <si>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</si>
  <si>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</si>
  <si>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</si>
  <si>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</si>
  <si>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</si>
  <si>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</si>
  <si>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</si>
  <si>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</si>
  <si>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</si>
  <si>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</si>
  <si>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</si>
  <si>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</si>
  <si>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</si>
  <si>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</si>
  <si>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</si>
  <si>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</si>
  <si>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</si>
  <si>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</si>
  <si>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</si>
  <si>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</si>
  <si>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</si>
  <si>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</si>
  <si>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</si>
  <si>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</si>
  <si>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</si>
  <si>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</si>
  <si>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</si>
  <si>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</si>
  <si>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</si>
  <si>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</si>
  <si>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</si>
  <si>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</si>
  <si>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</si>
  <si>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</si>
  <si>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</si>
  <si>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</si>
  <si>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</si>
  <si>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</si>
  <si>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</si>
  <si>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</si>
  <si>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</si>
  <si>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</si>
  <si>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</si>
  <si>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</si>
  <si>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</si>
  <si>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</si>
  <si>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</si>
  <si>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</si>
  <si>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</si>
  <si>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</si>
  <si>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</si>
  <si>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</si>
  <si>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</si>
  <si>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</si>
  <si>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</si>
  <si>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</si>
  <si>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</si>
  <si>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</si>
  <si>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</si>
  <si>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</si>
  <si>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</si>
  <si>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</si>
  <si>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</si>
  <si>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</si>
  <si>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</si>
  <si>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</si>
  <si>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</si>
  <si>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</si>
  <si>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</si>
  <si>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</si>
  <si>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</si>
  <si>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</si>
  <si>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</si>
  <si>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</si>
  <si>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</si>
  <si>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</si>
  <si>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</si>
  <si>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</si>
  <si>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</si>
  <si>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</si>
  <si>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</si>
  <si>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</si>
  <si>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</si>
  <si>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</si>
  <si>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</si>
  <si>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</si>
  <si>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</si>
  <si>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</si>
  <si>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</si>
  <si>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</si>
  <si>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</si>
  <si>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</si>
  <si>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</si>
  <si>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</si>
  <si>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</si>
  <si>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</si>
  <si>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</si>
  <si>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</si>
  <si>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</si>
  <si>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</si>
  <si>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</si>
  <si>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</si>
  <si>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</si>
  <si>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</si>
  <si>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</si>
  <si>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</si>
  <si>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</si>
  <si>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</si>
  <si>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</si>
  <si>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</si>
  <si>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</si>
  <si>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</si>
  <si>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</si>
  <si>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</si>
  <si>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</si>
  <si>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</si>
  <si>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</si>
  <si>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</si>
  <si>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</si>
  <si>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</si>
  <si>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</si>
  <si>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</si>
  <si>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</si>
  <si>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</si>
  <si>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</si>
  <si>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</si>
  <si>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</si>
  <si>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</si>
  <si>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</si>
  <si>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</si>
  <si>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</si>
  <si>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</si>
  <si>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</si>
  <si>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</si>
  <si>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</si>
  <si>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</si>
  <si>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</si>
  <si>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</si>
  <si>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</si>
  <si>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</si>
  <si>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</si>
  <si>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</si>
  <si>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</si>
  <si>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</si>
  <si>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</si>
  <si>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</si>
  <si>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</si>
  <si>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</si>
  <si>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</si>
  <si>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</si>
  <si>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</si>
  <si>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</si>
  <si>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</si>
  <si>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</si>
  <si>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</si>
  <si>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</si>
  <si>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</si>
  <si>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</si>
  <si>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</si>
  <si>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</si>
  <si>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</si>
  <si>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</si>
  <si>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</si>
  <si>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</si>
  <si>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</si>
  <si>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</si>
  <si>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</si>
  <si>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</si>
  <si>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</si>
  <si>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</si>
  <si>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</si>
  <si>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</si>
  <si>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</si>
  <si>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</si>
  <si>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</si>
  <si>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</si>
  <si>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</si>
  <si>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</si>
  <si>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</si>
  <si>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</si>
  <si>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</si>
  <si>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</si>
  <si>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</si>
  <si>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</si>
  <si>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</si>
  <si>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</si>
  <si>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</si>
  <si>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</si>
  <si>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</si>
  <si>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</si>
  <si>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</si>
  <si>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</si>
  <si>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</si>
  <si>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</si>
  <si>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</si>
  <si>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</si>
  <si>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</si>
  <si>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</si>
  <si>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</si>
  <si>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</si>
  <si>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</si>
  <si>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</si>
  <si>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</si>
  <si>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</si>
  <si>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</si>
  <si>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</si>
  <si>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</si>
  <si>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</si>
  <si>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</si>
  <si>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</si>
  <si>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</si>
  <si>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</si>
  <si>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</si>
  <si>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</si>
  <si>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</si>
  <si>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</si>
  <si>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</si>
  <si>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</si>
  <si>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</si>
  <si>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</si>
  <si>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</si>
  <si>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</si>
  <si>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</si>
  <si>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</si>
  <si>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</si>
  <si>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</si>
  <si>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</si>
  <si>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</si>
  <si>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</si>
  <si>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</si>
  <si>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</si>
  <si>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</si>
  <si>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</si>
  <si>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</si>
  <si>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</si>
  <si>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</si>
  <si>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</si>
  <si>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</si>
  <si>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</si>
  <si>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</si>
  <si>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</si>
  <si>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</si>
  <si>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</si>
  <si>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</si>
  <si>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</si>
  <si>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</si>
  <si>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</si>
  <si>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</si>
  <si>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</si>
  <si>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</si>
  <si>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</si>
  <si>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</si>
  <si>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</si>
  <si>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</si>
  <si>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</si>
  <si>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</si>
  <si>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</si>
  <si>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</si>
  <si>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</si>
  <si>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</si>
  <si>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</si>
  <si>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</si>
  <si>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</si>
  <si>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</si>
  <si>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</si>
  <si>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</si>
  <si>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</si>
  <si>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</si>
  <si>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</si>
  <si>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</si>
  <si>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</si>
  <si>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</si>
  <si>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</si>
  <si>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</si>
  <si>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</si>
  <si>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</si>
  <si>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</si>
  <si>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</si>
  <si>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</si>
  <si>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</si>
  <si>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</si>
  <si>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</si>
  <si>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</si>
  <si>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</si>
  <si>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</si>
  <si>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</si>
  <si>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</si>
  <si>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</si>
  <si>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</si>
  <si>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</si>
  <si>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</si>
  <si>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</si>
  <si>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</si>
  <si>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</si>
  <si>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</si>
  <si>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</si>
  <si>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</si>
  <si>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</si>
  <si>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</si>
  <si>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</si>
  <si>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</si>
  <si>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</si>
  <si>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</si>
  <si>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</si>
  <si>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</si>
  <si>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</si>
  <si>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</si>
  <si>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</si>
  <si>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</si>
  <si>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</si>
  <si>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</si>
  <si>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</si>
  <si>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</si>
  <si>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</si>
  <si>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</si>
  <si>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</si>
  <si>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</si>
  <si>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</si>
  <si>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</si>
  <si>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</si>
  <si>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</si>
  <si>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</si>
  <si>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</si>
  <si>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</si>
  <si>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</si>
  <si>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</si>
  <si>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</si>
  <si>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</si>
  <si>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</si>
  <si>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</si>
  <si>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</si>
  <si>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</si>
  <si>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</si>
  <si>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</si>
  <si>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</si>
  <si>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</si>
  <si>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</si>
  <si>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</si>
  <si>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</si>
  <si>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</si>
  <si>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</si>
  <si>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</si>
  <si>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</si>
  <si>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</si>
  <si>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</si>
  <si>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</si>
  <si>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</si>
  <si>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</si>
  <si>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</si>
  <si>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</si>
  <si>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</si>
  <si>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</si>
  <si>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</si>
  <si>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</si>
  <si>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</si>
  <si>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</si>
  <si>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</si>
  <si>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</si>
  <si>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</si>
  <si>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</si>
  <si>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</si>
  <si>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</si>
  <si>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</si>
  <si>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</si>
  <si>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</si>
  <si>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</si>
  <si>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</si>
  <si>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</si>
  <si>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</si>
  <si>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</si>
  <si>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</si>
  <si>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</si>
  <si>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</si>
  <si>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</si>
  <si>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</si>
  <si>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</si>
  <si>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</si>
  <si>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</si>
  <si>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</si>
  <si>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</si>
  <si>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</si>
  <si>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</si>
  <si>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</si>
  <si>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</si>
  <si>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</si>
  <si>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</si>
  <si>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</si>
  <si>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</si>
  <si>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</si>
  <si>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</si>
  <si>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</si>
  <si>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</si>
  <si>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</si>
  <si>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</si>
  <si>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</si>
  <si>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</si>
  <si>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</si>
  <si>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</si>
  <si>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</si>
  <si>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</si>
  <si>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</si>
  <si>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</si>
  <si>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</si>
  <si>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</si>
  <si>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</si>
  <si>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</si>
  <si>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</si>
  <si>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</si>
  <si>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</si>
  <si>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</si>
  <si>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</si>
  <si>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</si>
  <si>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</si>
  <si>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</si>
  <si>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</si>
  <si>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</si>
  <si>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</si>
  <si>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</si>
  <si>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</si>
  <si>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</si>
  <si>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</si>
  <si>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</si>
  <si>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</si>
  <si>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</si>
  <si>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</si>
  <si>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</si>
  <si>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</si>
  <si>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</si>
  <si>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</si>
  <si>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</si>
  <si>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</si>
  <si>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</si>
  <si>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</si>
  <si>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</si>
  <si>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</si>
  <si>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</si>
  <si>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</si>
  <si>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</si>
  <si>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</si>
  <si>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</si>
  <si>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</si>
  <si>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</si>
  <si>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</si>
  <si>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</si>
  <si>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</si>
  <si>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</si>
  <si>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</si>
  <si>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</si>
  <si>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</si>
  <si>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</si>
  <si>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</si>
  <si>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</si>
  <si>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</si>
  <si>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</si>
  <si>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</si>
  <si>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</si>
  <si>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</si>
  <si>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</si>
  <si>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</si>
  <si>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</si>
  <si>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</si>
  <si>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</si>
  <si>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</si>
  <si>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</si>
  <si>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</si>
  <si>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</si>
  <si>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</si>
  <si>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</si>
  <si>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</si>
  <si>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</si>
  <si>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</si>
  <si>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</si>
  <si>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</si>
  <si>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</si>
  <si>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</si>
  <si>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</si>
  <si>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</si>
  <si>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</si>
  <si>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</si>
  <si>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</si>
  <si>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</si>
  <si>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</si>
  <si>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</si>
  <si>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</si>
  <si>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</si>
  <si>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</si>
  <si>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</si>
  <si>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</si>
  <si>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</si>
  <si>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</si>
  <si>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</si>
  <si>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</si>
  <si>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</si>
  <si>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</si>
  <si>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</si>
  <si>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</si>
  <si>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</si>
  <si>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</si>
  <si>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</si>
  <si>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</si>
  <si>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</si>
  <si>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</si>
  <si>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</si>
  <si>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</si>
  <si>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</si>
  <si>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</si>
  <si>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</si>
  <si>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</si>
  <si>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</si>
  <si>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</si>
  <si>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</si>
  <si>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</si>
  <si>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</si>
  <si>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</si>
  <si>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</si>
  <si>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</si>
  <si>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</si>
  <si>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</si>
  <si>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</si>
  <si>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</si>
  <si>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</si>
  <si>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</si>
  <si>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</si>
  <si>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</si>
  <si>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</si>
  <si>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</si>
  <si>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</si>
  <si>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</si>
  <si>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</si>
  <si>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</si>
  <si>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</si>
  <si>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</si>
  <si>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</si>
  <si>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</si>
  <si>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</si>
  <si>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</si>
  <si>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</si>
  <si>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</si>
  <si>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</si>
  <si>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</si>
  <si>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</si>
  <si>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</si>
  <si>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</si>
  <si>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</si>
  <si>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</si>
  <si>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</si>
  <si>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</si>
  <si>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</si>
  <si>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</si>
  <si>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</si>
  <si>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</si>
  <si>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</si>
  <si>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</si>
  <si>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</si>
  <si>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</si>
  <si>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</si>
  <si>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</si>
  <si>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</si>
  <si>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</si>
  <si>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</si>
  <si>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</si>
  <si>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</si>
  <si>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</si>
  <si>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</si>
  <si>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</si>
  <si>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</si>
  <si>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</si>
  <si>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</si>
  <si>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</si>
  <si>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</si>
  <si>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</si>
  <si>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</si>
  <si>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</si>
  <si>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</si>
  <si>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</si>
  <si>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</si>
  <si>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</si>
  <si>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</si>
  <si>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</si>
  <si>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</si>
  <si>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</si>
  <si>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</si>
  <si>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</si>
  <si>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</si>
  <si>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</si>
  <si>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</si>
  <si>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</si>
  <si>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</si>
  <si>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</si>
  <si>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</si>
  <si>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</si>
  <si>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</si>
  <si>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</si>
  <si>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</si>
  <si>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</si>
  <si>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</si>
  <si>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</si>
  <si>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</si>
  <si>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</si>
  <si>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</si>
  <si>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</si>
  <si>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</si>
  <si>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</si>
  <si>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</si>
  <si>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</si>
  <si>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</si>
  <si>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</si>
  <si>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</si>
  <si>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</si>
  <si>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</si>
  <si>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</si>
  <si>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</si>
  <si>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</si>
  <si>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</si>
  <si>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</si>
  <si>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</si>
  <si>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</si>
  <si>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</si>
  <si>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</si>
  <si>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</si>
  <si>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</si>
  <si>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</si>
  <si>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</si>
  <si>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</si>
  <si>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</si>
  <si>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</si>
  <si>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</si>
  <si>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</si>
  <si>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</si>
  <si>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</si>
  <si>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</si>
  <si>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</si>
  <si>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</si>
  <si>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</si>
  <si>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</si>
  <si>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</si>
  <si>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</si>
  <si>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</si>
  <si>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</si>
  <si>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</si>
  <si>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</si>
  <si>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</si>
  <si>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</si>
  <si>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</si>
  <si>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</si>
  <si>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</si>
  <si>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</si>
  <si>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</si>
  <si>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</si>
  <si>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</si>
  <si>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</si>
  <si>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</si>
  <si>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</si>
  <si>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</si>
  <si>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</si>
  <si>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</si>
  <si>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</si>
  <si>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</si>
  <si>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</si>
  <si>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</si>
  <si>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</si>
  <si>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</si>
  <si>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</si>
  <si>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</si>
  <si>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</si>
  <si>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</si>
  <si>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</si>
  <si>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</si>
  <si>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</si>
  <si>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</si>
  <si>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</si>
  <si>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</si>
  <si>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</si>
  <si>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</si>
  <si>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</si>
  <si>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</si>
  <si>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</si>
  <si>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</si>
  <si>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</si>
  <si>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</si>
  <si>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</si>
  <si>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</si>
  <si>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</si>
  <si>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</si>
  <si>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</si>
  <si>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</si>
  <si>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</si>
  <si>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</si>
  <si>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</si>
  <si>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</si>
  <si>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</si>
  <si>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</si>
  <si>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</si>
  <si>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</si>
  <si>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</si>
  <si>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</si>
  <si>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</si>
  <si>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</si>
  <si>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</si>
  <si>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</si>
  <si>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</si>
  <si>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</si>
  <si>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</si>
  <si>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</si>
  <si>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</si>
  <si>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</si>
  <si>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</si>
  <si>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</si>
  <si>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</si>
  <si>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</si>
  <si>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</si>
  <si>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</si>
  <si>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</si>
  <si>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</si>
  <si>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</si>
  <si>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</si>
  <si>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</si>
  <si>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</si>
  <si>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</si>
  <si>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</si>
  <si>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</si>
  <si>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</si>
  <si>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</si>
  <si>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</si>
  <si>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</si>
  <si>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</si>
  <si>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</si>
  <si>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</si>
  <si>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</si>
  <si>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</si>
  <si>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</si>
  <si>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</si>
  <si>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</si>
  <si>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</si>
  <si>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</si>
  <si>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</si>
  <si>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</si>
  <si>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</si>
  <si>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</si>
  <si>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</si>
  <si>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</si>
  <si>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</si>
  <si>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</si>
  <si>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</si>
  <si>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</si>
  <si>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</si>
  <si>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</si>
  <si>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</si>
  <si>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</si>
  <si>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</si>
  <si>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</si>
  <si>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</si>
  <si>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</si>
  <si>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</si>
  <si>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</si>
  <si>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</si>
  <si>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</si>
  <si>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</si>
  <si>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</si>
  <si>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</si>
  <si>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</si>
  <si>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</si>
  <si>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</si>
  <si>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</si>
  <si>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</si>
  <si>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</si>
  <si>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</si>
  <si>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</si>
  <si>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</si>
  <si>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</si>
  <si>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</si>
  <si>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</si>
  <si>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</si>
  <si>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</si>
  <si>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</si>
  <si>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</si>
  <si>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</si>
  <si>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</si>
  <si>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</si>
  <si>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</si>
  <si>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</si>
  <si>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</si>
  <si>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</si>
  <si>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</si>
  <si>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</si>
  <si>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</si>
  <si>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</si>
  <si>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</si>
  <si>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</si>
  <si>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</si>
  <si>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</si>
  <si>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</si>
  <si>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</si>
  <si>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</si>
  <si>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</si>
  <si>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</si>
  <si>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</si>
  <si>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</si>
  <si>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</si>
  <si>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</si>
  <si>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</si>
  <si>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</si>
  <si>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</si>
  <si>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</si>
  <si>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</si>
  <si>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</si>
  <si>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</si>
  <si>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</si>
  <si>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</si>
  <si>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</si>
  <si>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</si>
  <si>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</si>
  <si>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</si>
  <si>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</si>
  <si>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</si>
  <si>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</si>
  <si>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</si>
  <si>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</si>
  <si>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</si>
  <si>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</si>
  <si>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</si>
  <si>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</si>
  <si>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</si>
  <si>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</si>
  <si>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</si>
  <si>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</si>
  <si>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</si>
  <si>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</si>
  <si>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</si>
  <si>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</si>
  <si>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</si>
  <si>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</si>
  <si>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</si>
  <si>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</si>
  <si>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</si>
  <si>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</si>
  <si>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</si>
  <si>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</si>
  <si>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</si>
  <si>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</si>
  <si>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</si>
  <si>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</si>
  <si>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</si>
  <si>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</si>
  <si>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</si>
  <si>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</si>
  <si>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</si>
  <si>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</si>
  <si>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</si>
  <si>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</si>
  <si>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</si>
  <si>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</si>
  <si>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</si>
  <si>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</si>
  <si>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</si>
  <si>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</si>
  <si>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</si>
  <si>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</si>
  <si>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</si>
  <si>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</si>
  <si>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</si>
  <si>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</si>
  <si>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</si>
  <si>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</si>
  <si>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</si>
  <si>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</si>
  <si>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</si>
  <si>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</si>
  <si>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</si>
  <si>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</si>
  <si>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</si>
  <si>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</si>
  <si>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</si>
  <si>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</si>
  <si>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</si>
  <si>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</si>
  <si>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</si>
  <si>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</si>
  <si>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</si>
  <si>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</si>
  <si>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</si>
  <si>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</si>
  <si>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</si>
  <si>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</si>
  <si>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</si>
  <si>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</si>
  <si>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</si>
  <si>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</si>
  <si>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</si>
  <si>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</si>
  <si>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</si>
  <si>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</si>
  <si>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</si>
  <si>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</si>
  <si>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</si>
  <si>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</si>
  <si>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</si>
  <si>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</si>
  <si>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</si>
  <si>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</si>
  <si>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</si>
  <si>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</si>
  <si>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</si>
  <si>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</si>
  <si>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</si>
  <si>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</si>
  <si>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</si>
  <si>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</si>
  <si>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</si>
  <si>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</si>
  <si>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</si>
  <si>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</si>
  <si>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</si>
  <si>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</si>
  <si>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</si>
  <si>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</si>
  <si>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</si>
  <si>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</si>
  <si>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</si>
  <si>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</si>
  <si>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</si>
  <si>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</si>
  <si>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</si>
  <si>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</si>
  <si>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</si>
  <si>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</si>
  <si>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</si>
  <si>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</si>
  <si>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</si>
  <si>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</si>
  <si>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</si>
  <si>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</si>
  <si>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</si>
  <si>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</si>
  <si>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</si>
  <si>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</si>
  <si>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</si>
  <si>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</si>
  <si>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</si>
  <si>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</si>
  <si>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</si>
  <si>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</si>
  <si>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</si>
  <si>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</si>
  <si>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</si>
  <si>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</si>
  <si>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</si>
  <si>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</si>
  <si>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</si>
  <si>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</si>
  <si>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</si>
  <si>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</si>
  <si>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</si>
  <si>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</si>
  <si>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</si>
  <si>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</si>
  <si>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</si>
  <si>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</si>
  <si>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</si>
  <si>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</si>
  <si>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</si>
  <si>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</si>
  <si>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</si>
  <si>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</si>
  <si>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</si>
  <si>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</si>
  <si>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</si>
  <si>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</si>
  <si>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</si>
  <si>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</si>
  <si>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</si>
  <si>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</si>
  <si>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</si>
  <si>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</si>
  <si>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</si>
  <si>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</si>
  <si>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</si>
  <si>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</si>
  <si>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</si>
  <si>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</si>
  <si>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</si>
  <si>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</si>
  <si>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</si>
  <si>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</si>
  <si>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</si>
  <si>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</si>
  <si>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</si>
  <si>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</si>
  <si>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</si>
  <si>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</si>
  <si>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</si>
  <si>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</si>
  <si>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</si>
  <si>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</si>
  <si>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</si>
  <si>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</si>
  <si>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</si>
  <si>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</si>
  <si>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</si>
  <si>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</si>
  <si>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</si>
  <si>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</si>
  <si>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</si>
  <si>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</si>
  <si>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</si>
  <si>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</si>
  <si>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</si>
  <si>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</si>
  <si>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</si>
  <si>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</si>
  <si>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</si>
  <si>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</si>
  <si>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</si>
  <si>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</si>
  <si>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</si>
  <si>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</si>
  <si>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</si>
  <si>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</si>
  <si>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</si>
  <si>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</si>
  <si>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</si>
  <si>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</si>
  <si>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</si>
  <si>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</si>
  <si>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</si>
  <si>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</si>
  <si>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</si>
  <si>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</si>
  <si>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</si>
  <si>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</si>
  <si>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</si>
  <si>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</si>
  <si>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</si>
  <si>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</si>
  <si>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</si>
  <si>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</si>
  <si>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</si>
  <si>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</si>
  <si>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</si>
  <si>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</si>
  <si>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</si>
  <si>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</si>
  <si>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</si>
  <si>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</si>
  <si>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</si>
  <si>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</si>
  <si>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</si>
  <si>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</si>
  <si>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</si>
  <si>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</si>
  <si>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</si>
  <si>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</si>
  <si>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</si>
  <si>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</si>
  <si>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</si>
  <si>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</si>
  <si>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</si>
  <si>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</si>
  <si>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</si>
  <si>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</si>
  <si>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</si>
  <si>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</si>
  <si>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</si>
  <si>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</si>
  <si>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</si>
  <si>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</si>
  <si>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</si>
  <si>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</si>
  <si>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</si>
  <si>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</si>
  <si>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</si>
  <si>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</si>
  <si>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</si>
  <si>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</si>
  <si>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</si>
  <si>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</si>
  <si>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</si>
  <si>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</si>
  <si>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</si>
  <si>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</si>
  <si>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</si>
  <si>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</si>
  <si>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</si>
  <si>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</si>
  <si>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</si>
  <si>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</si>
  <si>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</si>
  <si>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</si>
  <si>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</si>
  <si>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</si>
  <si>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</si>
  <si>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</si>
  <si>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</si>
  <si>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</si>
  <si>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</si>
  <si>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</si>
  <si>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</si>
  <si>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</si>
  <si>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</si>
  <si>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</si>
  <si>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</si>
  <si>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</si>
  <si>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</si>
  <si>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</si>
  <si>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</si>
  <si>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</si>
  <si>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</si>
  <si>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</si>
  <si>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</si>
  <si>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</si>
  <si>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</si>
  <si>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</si>
  <si>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</si>
  <si>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</si>
  <si>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</si>
  <si>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</si>
  <si>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</si>
  <si>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</si>
  <si>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</si>
  <si>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</si>
  <si>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</si>
  <si>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</si>
  <si>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</si>
  <si>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</si>
  <si>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</si>
  <si>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</si>
  <si>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</si>
  <si>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</si>
  <si>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</si>
  <si>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</si>
  <si>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</si>
  <si>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</si>
  <si>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</si>
  <si>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</si>
  <si>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</si>
  <si>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</si>
  <si>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</si>
  <si>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</si>
  <si>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</si>
  <si>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</si>
  <si>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</si>
  <si>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</si>
  <si>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</si>
  <si>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</si>
  <si>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</si>
  <si>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</si>
  <si>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</si>
  <si>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</si>
  <si>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</si>
  <si>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</si>
  <si>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</si>
  <si>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</si>
  <si>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</si>
  <si>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</si>
  <si>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</si>
  <si>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</si>
  <si>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</si>
  <si>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</si>
  <si>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</si>
  <si>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</si>
  <si>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</si>
  <si>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</si>
  <si>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</si>
  <si>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</si>
  <si>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</si>
  <si>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</si>
  <si>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</si>
  <si>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</si>
  <si>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</si>
  <si>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</si>
  <si>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</si>
  <si>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</si>
  <si>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</si>
  <si>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</si>
  <si>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</si>
  <si>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</si>
  <si>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</si>
  <si>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</si>
  <si>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</si>
  <si>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</si>
  <si>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</si>
  <si>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</si>
  <si>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</si>
  <si>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</si>
  <si>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</si>
  <si>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</si>
  <si>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</si>
  <si>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</si>
  <si>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</si>
  <si>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</si>
  <si>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</si>
  <si>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</si>
  <si>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</si>
  <si>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</si>
  <si>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</si>
  <si>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</si>
  <si>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</si>
  <si>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</si>
  <si>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</si>
  <si>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</si>
  <si>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</si>
  <si>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</si>
  <si>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</si>
  <si>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</si>
  <si>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</si>
  <si>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</si>
  <si>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</si>
  <si>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</si>
  <si>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</si>
  <si>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</si>
  <si>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</si>
  <si>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</si>
  <si>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</si>
  <si>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</si>
  <si>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</si>
  <si>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</si>
  <si>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</si>
  <si>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</si>
  <si>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</si>
  <si>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</si>
  <si>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</si>
  <si>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</si>
  <si>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</si>
  <si>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</si>
  <si>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</si>
  <si>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</si>
  <si>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</si>
  <si>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</si>
  <si>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</si>
  <si>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</si>
  <si>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</si>
  <si>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</si>
  <si>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</si>
  <si>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</si>
  <si>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</si>
  <si>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</si>
  <si>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</si>
  <si>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</si>
  <si>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</si>
  <si>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</si>
  <si>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</si>
  <si>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</si>
  <si>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</si>
  <si>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</si>
  <si>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</si>
  <si>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</si>
  <si>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</si>
  <si>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</si>
  <si>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</si>
  <si>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</si>
  <si>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</si>
  <si>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</si>
  <si>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</si>
  <si>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</si>
  <si>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</si>
  <si>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</si>
  <si>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</si>
  <si>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</si>
  <si>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</si>
  <si>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</si>
  <si>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</si>
  <si>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</si>
  <si>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</si>
  <si>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</si>
  <si>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</si>
  <si>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</si>
  <si>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</si>
  <si>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</si>
  <si>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</si>
  <si>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</si>
  <si>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</si>
  <si>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</si>
  <si>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</si>
  <si>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</si>
  <si>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</si>
  <si>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</si>
  <si>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</si>
  <si>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</si>
  <si>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</si>
  <si>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</si>
  <si>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</si>
  <si>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</si>
  <si>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</si>
  <si>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</si>
  <si>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</si>
  <si>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</si>
  <si>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</si>
  <si>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</si>
  <si>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</si>
  <si>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</si>
  <si>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</si>
  <si>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</si>
  <si>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</si>
  <si>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</si>
  <si>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</si>
  <si>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</si>
  <si>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</si>
  <si>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</si>
  <si>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</si>
  <si>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</si>
  <si>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</si>
  <si>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</si>
  <si>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</si>
  <si>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</si>
  <si>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</si>
  <si>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</si>
  <si>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</si>
  <si>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</si>
  <si>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</si>
  <si>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</si>
  <si>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</si>
  <si>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</si>
  <si>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</si>
  <si>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</si>
  <si>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</si>
  <si>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</si>
  <si>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</si>
  <si>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</si>
  <si>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</si>
  <si>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</si>
  <si>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</si>
  <si>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</si>
  <si>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</si>
  <si>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</si>
  <si>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</si>
  <si>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</si>
  <si>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</si>
  <si>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</si>
  <si>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</si>
  <si>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</si>
  <si>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</si>
  <si>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</si>
  <si>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</si>
  <si>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</si>
  <si>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</si>
  <si>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</si>
  <si>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</si>
  <si>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</si>
  <si>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</si>
  <si>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</si>
  <si>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</si>
  <si>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</si>
  <si>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</si>
  <si>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</si>
  <si>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</si>
  <si>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</si>
  <si>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</si>
  <si>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</si>
  <si>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</si>
  <si>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</si>
  <si>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</si>
  <si>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</si>
  <si>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</si>
  <si>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</si>
  <si>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</si>
  <si>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</si>
  <si>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</si>
  <si>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</si>
  <si>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</si>
  <si>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</si>
  <si>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</si>
  <si>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</si>
  <si>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</si>
  <si>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</si>
  <si>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</si>
  <si>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</si>
  <si>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</si>
  <si>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</si>
  <si>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</si>
  <si>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</si>
  <si>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</si>
  <si>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</si>
  <si>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</si>
  <si>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</si>
  <si>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</si>
  <si>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</si>
  <si>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</si>
  <si>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</si>
  <si>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</si>
  <si>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</si>
  <si>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</si>
  <si>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</si>
  <si>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</si>
  <si>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</si>
  <si>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</si>
  <si>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</si>
  <si>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</si>
  <si>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</si>
  <si>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</si>
  <si>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</si>
  <si>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</si>
  <si>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</si>
  <si>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</si>
  <si>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</si>
  <si>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</si>
  <si>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</si>
  <si>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</si>
  <si>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</si>
  <si>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</si>
  <si>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</si>
  <si>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</si>
  <si>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</si>
  <si>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</si>
  <si>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</si>
  <si>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</si>
  <si>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</si>
  <si>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</si>
  <si>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</si>
  <si>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</si>
  <si>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</si>
  <si>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</si>
  <si>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</si>
  <si>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</si>
  <si>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</si>
  <si>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</si>
  <si>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</si>
  <si>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</si>
  <si>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</si>
  <si>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</si>
  <si>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</si>
  <si>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</si>
  <si>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</si>
  <si>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</si>
  <si>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</si>
  <si>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</si>
  <si>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</si>
  <si>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</si>
  <si>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</si>
  <si>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</si>
  <si>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</si>
  <si>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</si>
  <si>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</si>
  <si>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</si>
  <si>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</si>
  <si>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</si>
  <si>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</si>
  <si>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</si>
  <si>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</si>
  <si>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</si>
  <si>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</si>
  <si>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</si>
  <si>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</si>
  <si>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</si>
  <si>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</si>
  <si>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</si>
  <si>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</si>
  <si>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</si>
  <si>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</si>
  <si>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</si>
  <si>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</si>
  <si>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</si>
  <si>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</si>
  <si>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</si>
  <si>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</si>
  <si>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</si>
  <si>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</si>
  <si>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</si>
  <si>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</si>
  <si>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</si>
  <si>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</si>
  <si>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</si>
  <si>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</si>
  <si>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</si>
  <si>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</si>
  <si>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</si>
  <si>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</si>
  <si>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</si>
  <si>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</si>
  <si>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</si>
  <si>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</si>
  <si>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</si>
  <si>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</si>
  <si>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</si>
  <si>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</si>
  <si>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</si>
  <si>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</si>
  <si>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</si>
  <si>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</si>
  <si>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</si>
  <si>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</si>
  <si>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</si>
  <si>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</si>
  <si>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</si>
  <si>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</si>
  <si>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</si>
  <si>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</si>
  <si>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</si>
  <si>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</si>
  <si>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</si>
  <si>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</si>
  <si>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</si>
  <si>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</si>
  <si>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</si>
  <si>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</si>
  <si>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</si>
  <si>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</si>
  <si>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</si>
  <si>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</si>
  <si>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</si>
  <si>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</si>
  <si>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</si>
  <si>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</si>
  <si>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</si>
  <si>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</si>
  <si>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</si>
  <si>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</si>
  <si>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</si>
  <si>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</si>
  <si>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</si>
  <si>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</si>
  <si>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</si>
  <si>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</si>
  <si>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</si>
  <si>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</si>
  <si>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</si>
  <si>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</si>
  <si>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</si>
  <si>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</si>
  <si>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</si>
  <si>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</si>
  <si>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</si>
  <si>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</si>
  <si>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</si>
  <si>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</si>
  <si>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</si>
  <si>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</si>
  <si>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</si>
  <si>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</si>
  <si>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</si>
  <si>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</si>
  <si>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</si>
  <si>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</si>
  <si>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</si>
  <si>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</si>
  <si>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</si>
  <si>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</si>
  <si>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</si>
  <si>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</si>
  <si>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</si>
  <si>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</si>
  <si>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</si>
  <si>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</si>
  <si>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</si>
  <si>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</si>
  <si>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</si>
  <si>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</si>
  <si>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</si>
  <si>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</si>
  <si>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</si>
  <si>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</si>
  <si>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</si>
  <si>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</si>
  <si>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</si>
  <si>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</si>
  <si>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</si>
  <si>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</si>
  <si>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</si>
  <si>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</si>
  <si>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</si>
  <si>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</si>
  <si>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</si>
  <si>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</si>
  <si>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</si>
  <si>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</si>
  <si>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</si>
  <si>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</si>
  <si>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</si>
  <si>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</si>
  <si>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</si>
  <si>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</si>
  <si>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</si>
  <si>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</si>
  <si>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</si>
  <si>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</si>
  <si>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</si>
  <si>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</si>
  <si>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</si>
  <si>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</si>
  <si>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</si>
  <si>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</si>
  <si>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</si>
  <si>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</si>
  <si>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</si>
  <si>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</si>
  <si>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</si>
  <si>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</si>
  <si>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</si>
  <si>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</si>
  <si>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</si>
  <si>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</si>
  <si>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</si>
  <si>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</si>
  <si>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</si>
  <si>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</si>
  <si>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</si>
  <si>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</si>
  <si>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</si>
  <si>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</si>
  <si>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</si>
  <si>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</si>
  <si>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</si>
  <si>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</si>
  <si>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</si>
  <si>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</si>
  <si>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</si>
  <si>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</si>
  <si>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</si>
  <si>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</si>
  <si>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</si>
  <si>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</si>
  <si>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</si>
  <si>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</si>
  <si>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</si>
  <si>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</si>
  <si>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</si>
  <si>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</si>
  <si>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</si>
  <si>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</si>
  <si>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</si>
  <si>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</si>
  <si>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</si>
  <si>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</si>
  <si>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</si>
  <si>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</si>
  <si>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</si>
  <si>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</si>
  <si>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</si>
  <si>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</si>
  <si>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</si>
  <si>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</si>
  <si>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</si>
  <si>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</si>
  <si>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</si>
  <si>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</si>
  <si>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</si>
  <si>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</si>
  <si>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</si>
  <si>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</si>
  <si>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</si>
  <si>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</si>
  <si>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</si>
  <si>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</si>
  <si>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</si>
  <si>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</si>
  <si>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</si>
  <si>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</si>
  <si>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</si>
  <si>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</si>
  <si>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</si>
  <si>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</si>
  <si>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</si>
  <si>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</si>
  <si>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</si>
  <si>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</si>
  <si>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</si>
  <si>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</si>
  <si>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</si>
  <si>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</si>
  <si>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</si>
  <si>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</si>
  <si>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</si>
  <si>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</si>
  <si>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</si>
  <si>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</si>
  <si>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</si>
  <si>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</si>
  <si>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</si>
  <si>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</si>
  <si>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</si>
  <si>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</si>
  <si>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</si>
  <si>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</si>
  <si>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</si>
  <si>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</si>
  <si>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</si>
  <si>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</si>
  <si>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</si>
  <si>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</si>
  <si>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</si>
  <si>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</si>
  <si>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</si>
  <si>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</si>
  <si>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</si>
  <si>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</si>
  <si>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</si>
  <si>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</si>
  <si>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</si>
  <si>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</si>
  <si>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</si>
  <si>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</si>
  <si>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</si>
  <si>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</si>
  <si>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</si>
  <si>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</si>
  <si>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</si>
  <si>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</si>
  <si>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</si>
  <si>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</si>
  <si>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</si>
  <si>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</si>
  <si>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</si>
  <si>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</si>
  <si>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</si>
  <si>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</si>
  <si>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</si>
  <si>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</si>
  <si>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</si>
  <si>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</si>
  <si>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</si>
  <si>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</si>
  <si>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</si>
  <si>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</si>
  <si>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</si>
  <si>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</si>
  <si>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</si>
  <si>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</si>
  <si>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</si>
  <si>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</si>
  <si>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</si>
  <si>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</si>
  <si>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</si>
  <si>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</si>
  <si>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</si>
  <si>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</si>
  <si>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</si>
  <si>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</si>
  <si>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</si>
  <si>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</si>
  <si>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</si>
  <si>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</si>
  <si>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</si>
  <si>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</si>
  <si>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</si>
  <si>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</si>
  <si>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</si>
  <si>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</si>
  <si>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</si>
  <si>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</si>
  <si>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</si>
  <si>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</si>
  <si>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</si>
  <si>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</si>
  <si>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</si>
  <si>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</si>
  <si>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</si>
  <si>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</si>
  <si>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</si>
  <si>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</si>
  <si>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</si>
  <si>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</si>
  <si>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</si>
  <si>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</si>
  <si>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</si>
  <si>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</si>
  <si>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</si>
  <si>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</si>
  <si>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</si>
  <si>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</si>
  <si>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</si>
  <si>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</si>
  <si>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</si>
  <si>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</si>
  <si>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</si>
  <si>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</si>
  <si>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</si>
  <si>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</si>
  <si>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</si>
  <si>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</si>
  <si>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</si>
  <si>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</si>
  <si>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</si>
  <si>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</si>
  <si>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</si>
  <si>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</si>
  <si>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</si>
  <si>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</si>
  <si>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</si>
  <si>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</si>
  <si>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</si>
  <si>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</si>
  <si>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</si>
  <si>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</si>
  <si>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</si>
  <si>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</si>
  <si>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</si>
  <si>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</si>
  <si>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</si>
  <si>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</si>
  <si>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</si>
  <si>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</si>
  <si>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</si>
  <si>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</si>
  <si>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</si>
  <si>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</si>
  <si>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</si>
  <si>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</si>
  <si>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</si>
  <si>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</si>
  <si>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</si>
  <si>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</si>
  <si>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</si>
  <si>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</si>
  <si>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</si>
  <si>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</si>
  <si>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</si>
  <si>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</si>
  <si>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</si>
  <si>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</si>
  <si>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</si>
  <si>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</si>
  <si>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</si>
  <si>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</si>
  <si>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</si>
  <si>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</si>
  <si>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</si>
  <si>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</si>
  <si>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</si>
  <si>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</si>
  <si>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</si>
  <si>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</si>
  <si>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</si>
  <si>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</si>
  <si>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</si>
  <si>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</si>
  <si>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</si>
  <si>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</si>
  <si>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</si>
  <si>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</si>
  <si>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</si>
  <si>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</si>
  <si>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</si>
  <si>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</si>
  <si>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</si>
  <si>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</si>
  <si>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</si>
  <si>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</si>
  <si>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</si>
  <si>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</si>
  <si>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</si>
  <si>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</si>
  <si>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</si>
  <si>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</si>
  <si>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</si>
  <si>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</si>
  <si>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</si>
  <si>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</si>
  <si>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</si>
  <si>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</si>
  <si>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</si>
  <si>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</si>
  <si>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</si>
  <si>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</si>
  <si>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</si>
  <si>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</si>
  <si>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</si>
  <si>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</si>
  <si>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</si>
  <si>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</si>
  <si>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</si>
  <si>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</si>
  <si>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</si>
  <si>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</si>
  <si>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</si>
  <si>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</si>
  <si>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</si>
  <si>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</si>
  <si>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</si>
  <si>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</si>
  <si>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</si>
  <si>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</si>
  <si>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</si>
  <si>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</si>
  <si>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</si>
  <si>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</si>
  <si>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</si>
  <si>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</si>
  <si>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</si>
  <si>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</si>
  <si>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</si>
  <si>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</si>
  <si>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</si>
  <si>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</si>
  <si>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</si>
  <si>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</si>
  <si>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</si>
  <si>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</si>
  <si>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</si>
  <si>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</si>
  <si>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</si>
  <si>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</si>
  <si>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</si>
  <si>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</si>
  <si>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</si>
  <si>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</si>
  <si>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</si>
  <si>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</si>
  <si>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</si>
  <si>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</si>
  <si>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</si>
  <si>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</si>
  <si>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</si>
  <si>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</si>
  <si>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</si>
  <si>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</si>
  <si>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</si>
  <si>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</si>
  <si>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</si>
  <si>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</si>
  <si>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</si>
  <si>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</si>
  <si>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</si>
  <si>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</si>
  <si>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</si>
  <si>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</si>
  <si>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</si>
  <si>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</si>
  <si>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</si>
  <si>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</si>
  <si>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</si>
  <si>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</si>
  <si>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</si>
  <si>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</si>
  <si>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</si>
  <si>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</si>
  <si>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</si>
  <si>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</si>
  <si>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</si>
  <si>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</si>
  <si>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</si>
  <si>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</si>
  <si>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</si>
  <si>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</si>
  <si>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</si>
  <si>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</si>
  <si>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</si>
  <si>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</si>
  <si>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</si>
  <si>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</si>
  <si>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</si>
  <si>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</si>
  <si>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</si>
  <si>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</si>
  <si>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</si>
  <si>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</si>
  <si>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</si>
  <si>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</si>
  <si>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</si>
  <si>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</si>
  <si>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</si>
  <si>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</si>
  <si>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</si>
  <si>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</si>
  <si>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</si>
  <si>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</si>
  <si>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</si>
  <si>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</si>
  <si>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</si>
  <si>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</si>
  <si>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</si>
  <si>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</si>
  <si>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</si>
  <si>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</si>
  <si>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</si>
  <si>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</si>
  <si>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</si>
  <si>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</si>
  <si>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</si>
  <si>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</si>
  <si>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</si>
  <si>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</si>
  <si>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</si>
  <si>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</si>
  <si>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</si>
  <si>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</si>
  <si>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</si>
  <si>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</si>
  <si>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</si>
  <si>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</si>
  <si>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</si>
  <si>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</si>
  <si>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</si>
  <si>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</si>
  <si>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</si>
  <si>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</si>
  <si>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</si>
  <si>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</si>
  <si>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</si>
  <si>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</si>
  <si>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</si>
  <si>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</si>
  <si>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</si>
  <si>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</si>
  <si>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</si>
  <si>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</si>
  <si>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</si>
  <si>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</si>
  <si>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</si>
  <si>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</si>
  <si>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</si>
  <si>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</si>
  <si>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</si>
  <si>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</si>
  <si>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</si>
  <si>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</si>
  <si>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</si>
  <si>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</si>
  <si>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</si>
  <si>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</si>
  <si>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</si>
  <si>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</si>
  <si>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</si>
  <si>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</si>
  <si>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</si>
  <si>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</si>
  <si>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</si>
  <si>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</si>
  <si>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</si>
  <si>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</si>
  <si>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</si>
  <si>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</si>
  <si>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</si>
  <si>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</si>
  <si>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</si>
  <si>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</si>
  <si>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</si>
  <si>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</si>
  <si>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</si>
  <si>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</si>
  <si>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</si>
  <si>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</si>
  <si>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</si>
  <si>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</si>
  <si>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</si>
  <si>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</si>
  <si>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</si>
  <si>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</si>
  <si>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</si>
  <si>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</si>
  <si>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</si>
  <si>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</si>
  <si>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</si>
  <si>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</si>
  <si>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</si>
  <si>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</si>
  <si>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</si>
  <si>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</si>
  <si>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</si>
  <si>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</si>
  <si>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</si>
  <si>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</si>
  <si>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</si>
  <si>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</si>
  <si>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</si>
  <si>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</si>
  <si>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</si>
  <si>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</si>
  <si>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</si>
  <si>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</si>
  <si>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</si>
  <si>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</si>
  <si>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</si>
  <si>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</si>
  <si>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</si>
  <si>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</si>
  <si>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</si>
  <si>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</si>
  <si>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</si>
  <si>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</si>
  <si>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</si>
  <si>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</si>
  <si>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</si>
  <si>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</si>
  <si>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</si>
  <si>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</si>
  <si>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</si>
  <si>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</si>
  <si>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</si>
  <si>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</si>
  <si>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</si>
  <si>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</si>
  <si>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</si>
  <si>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</si>
  <si>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</si>
  <si>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</si>
  <si>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</si>
  <si>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</si>
  <si>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</si>
  <si>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</si>
  <si>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</si>
  <si>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</si>
  <si>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</si>
  <si>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</si>
  <si>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</si>
  <si>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</si>
  <si>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</si>
  <si>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</si>
  <si>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</si>
  <si>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</si>
  <si>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</si>
  <si>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</si>
  <si>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</si>
  <si>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</si>
  <si>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</si>
  <si>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</si>
  <si>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</si>
  <si>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</si>
  <si>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</si>
  <si>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</si>
  <si>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</si>
  <si>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</si>
  <si>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</si>
  <si>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</si>
  <si>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</si>
  <si>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</si>
  <si>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</si>
  <si>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</si>
  <si>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</si>
  <si>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</si>
  <si>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</si>
  <si>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</si>
  <si>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</si>
  <si>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</si>
  <si>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</si>
  <si>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</si>
  <si>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</si>
  <si>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</si>
  <si>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</si>
  <si>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</si>
  <si>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</si>
  <si>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</si>
  <si>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</si>
  <si>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</si>
  <si>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</si>
  <si>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</si>
  <si>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</si>
  <si>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</si>
  <si>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</si>
  <si>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</si>
  <si>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</si>
  <si>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</si>
  <si>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</si>
  <si>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</si>
  <si>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</si>
  <si>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</si>
  <si>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</si>
  <si>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</si>
  <si>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</si>
  <si>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</si>
  <si>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</si>
  <si>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</si>
  <si>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</si>
  <si>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</si>
  <si>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</si>
  <si>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</si>
  <si>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</si>
  <si>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</si>
  <si>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</si>
  <si>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</si>
  <si>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</si>
  <si>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</si>
  <si>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</si>
  <si>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</si>
  <si>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</si>
  <si>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</si>
  <si>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</si>
  <si>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</si>
  <si>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</si>
  <si>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</si>
  <si>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</si>
  <si>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</si>
  <si>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</si>
  <si>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</si>
  <si>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</si>
  <si>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</si>
  <si>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</si>
  <si>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</si>
  <si>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</si>
  <si>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</si>
  <si>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</si>
  <si>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</si>
  <si>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</si>
  <si>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</si>
  <si>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</si>
  <si>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</si>
  <si>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</si>
  <si>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</si>
  <si>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</si>
  <si>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</si>
  <si>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</si>
  <si>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</si>
  <si>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</si>
  <si>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</si>
  <si>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</si>
  <si>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</si>
  <si>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</si>
  <si>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</si>
  <si>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</si>
  <si>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</si>
  <si>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</si>
  <si>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</si>
  <si>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</si>
  <si>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</si>
  <si>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</si>
  <si>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</si>
  <si>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</si>
  <si>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</si>
  <si>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</si>
  <si>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</si>
  <si>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</si>
  <si>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</si>
  <si>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</si>
  <si>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</si>
  <si>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</si>
  <si>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</si>
  <si>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</si>
  <si>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</si>
  <si>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</si>
  <si>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</si>
  <si>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</si>
  <si>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</si>
  <si>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</si>
  <si>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</si>
  <si>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</si>
  <si>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</si>
  <si>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</si>
  <si>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</si>
  <si>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</si>
  <si>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</si>
  <si>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</si>
  <si>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</si>
  <si>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</si>
  <si>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</si>
  <si>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</si>
  <si>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</si>
  <si>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</si>
  <si>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</si>
  <si>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</si>
  <si>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</si>
  <si>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</si>
  <si>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</si>
  <si>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</si>
  <si>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</si>
  <si>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</si>
  <si>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</si>
  <si>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</si>
  <si>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</si>
  <si>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</si>
  <si>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</si>
  <si>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</si>
  <si>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</si>
  <si>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</si>
  <si>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</si>
  <si>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</si>
  <si>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</si>
  <si>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</si>
  <si>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</si>
  <si>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</si>
  <si>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</si>
  <si>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</si>
  <si>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</si>
  <si>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</si>
  <si>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</si>
  <si>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</si>
  <si>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</si>
  <si>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</si>
  <si>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</si>
  <si>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</si>
  <si>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</si>
  <si>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</si>
  <si>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</si>
  <si>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</si>
  <si>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</si>
  <si>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</si>
  <si>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</si>
  <si>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</si>
  <si>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</si>
  <si>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</si>
  <si>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</si>
  <si>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</si>
  <si>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</si>
  <si>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</si>
  <si>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</si>
  <si>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</si>
  <si>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</si>
  <si>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</si>
  <si>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</si>
  <si>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</si>
  <si>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</si>
  <si>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</si>
  <si>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</si>
  <si>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</si>
  <si>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</si>
  <si>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</si>
  <si>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</si>
  <si>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</si>
  <si>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</si>
  <si>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</si>
  <si>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</si>
  <si>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</si>
  <si>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</si>
  <si>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</si>
  <si>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</si>
  <si>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</si>
  <si>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</si>
  <si>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</si>
  <si>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</si>
  <si>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</si>
  <si>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</si>
  <si>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</si>
  <si>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</si>
  <si>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</si>
  <si>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</si>
  <si>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</si>
  <si>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</si>
  <si>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</si>
  <si>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</si>
  <si>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</si>
  <si>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</si>
  <si>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</si>
  <si>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</si>
  <si>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</si>
  <si>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</si>
  <si>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</si>
  <si>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</si>
  <si>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</si>
  <si>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</si>
  <si>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</si>
  <si>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</si>
  <si>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</si>
  <si>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</si>
  <si>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</si>
  <si>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</si>
  <si>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</si>
  <si>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</si>
  <si>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</si>
  <si>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</si>
  <si>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</si>
  <si>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</si>
  <si>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</si>
  <si>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</si>
  <si>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</si>
  <si>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</si>
  <si>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</si>
  <si>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</si>
  <si>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</si>
  <si>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</si>
  <si>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</si>
  <si>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</si>
  <si>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</si>
  <si>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</si>
  <si>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</si>
  <si>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</si>
  <si>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</si>
  <si>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</si>
  <si>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</si>
  <si>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</si>
  <si>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</si>
  <si>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</si>
  <si>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</si>
  <si>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</si>
  <si>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</si>
  <si>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</si>
  <si>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</si>
  <si>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</si>
  <si>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</si>
  <si>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</si>
  <si>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</si>
  <si>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</si>
  <si>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</si>
  <si>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</si>
  <si>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</si>
  <si>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</si>
  <si>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</si>
  <si>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</si>
  <si>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</si>
  <si>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</si>
  <si>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</si>
  <si>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</si>
  <si>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</si>
  <si>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</si>
  <si>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</si>
  <si>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</si>
  <si>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</si>
  <si>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</si>
  <si>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</si>
  <si>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</si>
  <si>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</si>
  <si>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</si>
  <si>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</si>
  <si>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</si>
  <si>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</si>
  <si>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</si>
  <si>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</si>
  <si>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</si>
  <si>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</si>
  <si>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</si>
  <si>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</si>
  <si>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</si>
  <si>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</si>
  <si>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</si>
  <si>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</si>
  <si>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</si>
  <si>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</si>
  <si>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</si>
  <si>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</si>
  <si>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</si>
  <si>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</si>
  <si>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</si>
  <si>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</si>
  <si>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</si>
  <si>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</si>
  <si>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</si>
  <si>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</si>
  <si>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</si>
  <si>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</si>
  <si>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</si>
  <si>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</si>
  <si>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</si>
  <si>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</si>
  <si>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</si>
  <si>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</si>
  <si>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</si>
  <si>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</si>
  <si>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</si>
  <si>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</si>
  <si>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</si>
  <si>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</si>
  <si>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</si>
  <si>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</si>
  <si>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</si>
  <si>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</si>
  <si>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</si>
  <si>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</si>
  <si>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</si>
  <si>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</si>
  <si>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</si>
  <si>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</si>
  <si>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</si>
  <si>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</si>
  <si>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</si>
  <si>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</si>
  <si>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</si>
  <si>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</si>
  <si>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</si>
  <si>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</si>
  <si>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</si>
  <si>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</si>
  <si>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</si>
  <si>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</si>
  <si>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</si>
  <si>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</si>
  <si>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</si>
  <si>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</si>
  <si>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</si>
  <si>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</si>
  <si>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</si>
  <si>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</si>
  <si>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</si>
  <si>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</si>
  <si>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</si>
  <si>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</si>
  <si>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</si>
  <si>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</si>
  <si>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</si>
  <si>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</si>
  <si>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</si>
  <si>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</si>
  <si>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</si>
  <si>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</si>
  <si>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</si>
  <si>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</si>
  <si>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</si>
  <si>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</si>
  <si>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</si>
  <si>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</si>
  <si>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</si>
  <si>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</si>
  <si>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</si>
  <si>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</si>
  <si>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</si>
  <si>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</si>
  <si>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</si>
  <si>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</si>
  <si>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</si>
  <si>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</si>
  <si>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</si>
  <si>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</si>
  <si>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</si>
  <si>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</si>
  <si>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</si>
  <si>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</si>
  <si>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</si>
  <si>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</si>
  <si>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</si>
  <si>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</si>
  <si>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</si>
  <si>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</si>
  <si>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</si>
  <si>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</si>
  <si>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</si>
  <si>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</si>
  <si>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</si>
  <si>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</si>
  <si>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</si>
  <si>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</si>
  <si>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</si>
  <si>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</si>
  <si>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</si>
  <si>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</si>
  <si>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</si>
  <si>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</si>
  <si>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</si>
  <si>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</si>
  <si>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</si>
  <si>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</si>
  <si>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</si>
  <si>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</si>
  <si>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</si>
  <si>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</si>
  <si>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</si>
  <si>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</si>
  <si>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</si>
  <si>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</si>
  <si>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</si>
  <si>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</si>
  <si>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</si>
  <si>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</si>
  <si>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</si>
  <si>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</si>
  <si>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</si>
  <si>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</si>
  <si>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</si>
  <si>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</si>
  <si>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</si>
  <si>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</si>
  <si>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</si>
  <si>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</si>
  <si>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</si>
  <si>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</si>
  <si>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</si>
  <si>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</si>
  <si>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</si>
  <si>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</si>
  <si>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</si>
  <si>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</si>
  <si>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</si>
  <si>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</si>
  <si>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</si>
  <si>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</si>
  <si>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</si>
  <si>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</si>
  <si>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</si>
  <si>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</si>
  <si>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</si>
  <si>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</si>
  <si>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</si>
  <si>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</si>
  <si>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</si>
  <si>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</si>
  <si>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</si>
  <si>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</si>
  <si>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</si>
  <si>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</si>
  <si>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</si>
  <si>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</si>
  <si>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</si>
  <si>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</si>
  <si>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</si>
  <si>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</si>
  <si>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</si>
  <si>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</si>
  <si>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</si>
  <si>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</si>
  <si>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</si>
  <si>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</si>
  <si>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</si>
  <si>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</si>
  <si>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</si>
  <si>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</si>
  <si>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</si>
  <si>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</si>
  <si>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</si>
  <si>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</si>
  <si>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</si>
  <si>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</si>
  <si>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</si>
  <si>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</si>
  <si>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</si>
  <si>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</si>
  <si>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</si>
  <si>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</si>
  <si>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</si>
  <si>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</si>
  <si>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</si>
  <si>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</si>
  <si>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</si>
  <si>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</si>
  <si>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</si>
  <si>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</si>
  <si>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</si>
  <si>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</si>
  <si>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</si>
  <si>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</si>
  <si>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</si>
  <si>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</si>
  <si>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</si>
  <si>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</si>
  <si>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</si>
  <si>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</si>
  <si>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</si>
  <si>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</si>
  <si>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</si>
  <si>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</si>
  <si>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</si>
  <si>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</si>
  <si>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</si>
  <si>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</si>
  <si>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</si>
  <si>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</si>
  <si>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</si>
  <si>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</si>
  <si>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</si>
  <si>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</si>
  <si>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</si>
  <si>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</si>
  <si>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</si>
  <si>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</si>
  <si>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</si>
  <si>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</si>
  <si>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</si>
  <si>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</si>
  <si>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</si>
  <si>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</si>
  <si>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</si>
  <si>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</si>
  <si>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</si>
  <si>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</si>
  <si>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</si>
  <si>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</si>
  <si>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</si>
  <si>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</si>
  <si>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</si>
  <si>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</si>
  <si>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</si>
  <si>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</si>
  <si>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</si>
  <si>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</si>
  <si>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</si>
  <si>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</si>
  <si>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</si>
  <si>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</si>
  <si>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</si>
  <si>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</si>
  <si>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</si>
  <si>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</si>
  <si>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</si>
  <si>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</si>
  <si>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</si>
  <si>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</si>
  <si>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</si>
  <si>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</si>
  <si>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</si>
  <si>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</si>
  <si>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</si>
  <si>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</si>
  <si>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</si>
  <si>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</si>
  <si>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</si>
  <si>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</si>
  <si>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</si>
  <si>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</si>
  <si>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</si>
  <si>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</si>
  <si>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</si>
  <si>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</si>
  <si>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</si>
  <si>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</si>
  <si>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</si>
  <si>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</si>
  <si>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</si>
  <si>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</si>
  <si>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</si>
  <si>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</si>
  <si>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</si>
  <si>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</si>
  <si>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</si>
  <si>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</si>
  <si>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</si>
  <si>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</si>
  <si>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</si>
  <si>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</si>
  <si>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</si>
  <si>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</si>
  <si>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</si>
  <si>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</si>
  <si>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</si>
  <si>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</si>
  <si>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</si>
  <si>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</si>
  <si>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</si>
  <si>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</si>
  <si>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</si>
  <si>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</si>
  <si>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</si>
  <si>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</si>
  <si>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</si>
  <si>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</si>
  <si>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</si>
  <si>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</si>
  <si>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</si>
  <si>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</si>
  <si>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</si>
  <si>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</si>
  <si>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</si>
  <si>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</si>
  <si>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</si>
  <si>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</si>
  <si>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</si>
  <si>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</si>
  <si>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</si>
  <si>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</si>
  <si>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</si>
  <si>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</si>
  <si>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</si>
  <si>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</si>
  <si>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</si>
  <si>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</si>
  <si>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</si>
  <si>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</si>
  <si>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</si>
  <si>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</si>
  <si>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</si>
  <si>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</si>
  <si>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</si>
  <si>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</si>
  <si>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</si>
  <si>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</si>
  <si>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</si>
  <si>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</si>
  <si>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</si>
  <si>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</si>
  <si>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</si>
  <si>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</si>
  <si>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</si>
  <si>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</si>
  <si>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</si>
  <si>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</si>
  <si>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</si>
  <si>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</si>
  <si>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</si>
  <si>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</si>
  <si>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</si>
  <si>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</si>
  <si>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</si>
  <si>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</si>
  <si>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</si>
  <si>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</si>
  <si>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</si>
  <si>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</si>
  <si>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</si>
  <si>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</si>
  <si>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</si>
  <si>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</si>
  <si>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</si>
  <si>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</si>
  <si>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</si>
  <si>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</si>
  <si>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</si>
  <si>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</si>
  <si>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</si>
  <si>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</si>
  <si>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</si>
  <si>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</si>
  <si>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</si>
  <si>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</si>
  <si>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</si>
  <si>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</si>
  <si>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</si>
  <si>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</si>
  <si>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</si>
  <si>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</si>
  <si>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</si>
  <si>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</si>
  <si>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</si>
  <si>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</si>
  <si>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</si>
  <si>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</si>
  <si>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</si>
  <si>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</si>
  <si>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</si>
  <si>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</si>
  <si>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</si>
  <si>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</si>
  <si>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</si>
  <si>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</si>
  <si>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</si>
  <si>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</si>
  <si>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</si>
  <si>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</si>
  <si>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</si>
  <si>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</si>
  <si>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</si>
  <si>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</si>
  <si>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</si>
  <si>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</si>
  <si>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</si>
  <si>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</si>
  <si>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</si>
  <si>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</si>
  <si>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</si>
  <si>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</si>
  <si>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</si>
  <si>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</si>
  <si>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</si>
  <si>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</si>
  <si>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</si>
  <si>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</si>
  <si>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</si>
  <si>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</si>
  <si>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</si>
  <si>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</si>
  <si>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</si>
  <si>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</si>
  <si>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</si>
  <si>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</si>
  <si>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</si>
  <si>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</si>
  <si>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</si>
  <si>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</si>
  <si>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</si>
  <si>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</si>
  <si>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</si>
  <si>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</si>
  <si>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</si>
  <si>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</si>
  <si>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</si>
  <si>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</si>
  <si>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</si>
  <si>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</si>
  <si>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</si>
  <si>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</si>
  <si>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</si>
  <si>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</si>
  <si>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</si>
  <si>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</si>
  <si>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</si>
  <si>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</si>
  <si>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</si>
  <si>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</si>
  <si>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</si>
  <si>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</si>
  <si>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</si>
  <si>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</si>
  <si>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</si>
  <si>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</si>
  <si>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</si>
  <si>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</si>
  <si>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</si>
  <si>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</si>
  <si>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</si>
  <si>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</si>
  <si>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</si>
  <si>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</si>
  <si>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</si>
  <si>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</si>
  <si>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</si>
  <si>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</si>
  <si>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</si>
  <si>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</si>
  <si>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</si>
  <si>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</si>
  <si>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</si>
  <si>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</si>
  <si>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</si>
  <si>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</si>
  <si>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</si>
  <si>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</si>
  <si>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</si>
  <si>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</si>
  <si>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</si>
  <si>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</si>
  <si>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</si>
  <si>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</si>
  <si>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</si>
  <si>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</si>
  <si>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</si>
  <si>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</si>
  <si>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</si>
  <si>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</si>
  <si>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</si>
  <si>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</si>
  <si>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</si>
  <si>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</si>
  <si>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</si>
  <si>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</si>
  <si>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</si>
  <si>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</si>
  <si>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</si>
  <si>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</si>
  <si>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</si>
  <si>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پارس 1305 تا 3115.9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</si>
  <si>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</si>
  <si>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</si>
  <si>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</si>
  <si>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</si>
  <si>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</si>
  <si>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</si>
  <si>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</si>
  <si>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</si>
  <si>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</si>
  <si>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</si>
  <si>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</si>
  <si>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</si>
  <si>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</si>
  <si>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</si>
  <si>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</si>
  <si>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</si>
  <si>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</si>
  <si>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</si>
  <si>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</si>
  <si>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</si>
  <si>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</si>
  <si>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</si>
  <si>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</si>
  <si>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</si>
  <si>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</si>
  <si>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</si>
  <si>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</si>
  <si>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</si>
  <si>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</si>
  <si>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</si>
  <si>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</si>
  <si>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</si>
  <si>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</si>
  <si>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</si>
  <si>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</si>
  <si>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</si>
  <si>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</si>
  <si>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</si>
  <si>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</si>
  <si>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پارس 53 تا 3095.1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</si>
  <si>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</si>
  <si>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</si>
  <si>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</si>
  <si>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</si>
  <si>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</si>
  <si>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</si>
  <si>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</si>
  <si>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</si>
  <si>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</si>
  <si>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</si>
  <si>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</si>
  <si>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</si>
  <si>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</si>
  <si>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</si>
  <si>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</si>
  <si>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</si>
  <si>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</si>
  <si>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</si>
  <si>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</si>
  <si>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</si>
  <si>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</si>
  <si>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</si>
  <si>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</si>
  <si>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</si>
  <si>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</si>
  <si>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</si>
  <si>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</si>
  <si>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</si>
  <si>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</si>
  <si>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</si>
  <si>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</si>
  <si>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</si>
  <si>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</si>
  <si>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</si>
  <si>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</si>
  <si>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</si>
  <si>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</si>
  <si>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</si>
  <si>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</si>
  <si>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</si>
  <si>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</si>
  <si>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</si>
  <si>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</si>
  <si>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</si>
  <si>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</si>
  <si>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</si>
  <si>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</si>
  <si>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</si>
  <si>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</si>
  <si>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</si>
  <si>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</si>
  <si>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</si>
  <si>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</si>
  <si>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</si>
  <si>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</si>
  <si>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</si>
  <si>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</si>
  <si>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</si>
  <si>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</si>
  <si>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</si>
  <si>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</si>
  <si>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</si>
  <si>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</si>
  <si>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</si>
  <si>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</si>
  <si>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</si>
  <si>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</si>
  <si>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</si>
  <si>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</si>
  <si>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</si>
  <si>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</si>
  <si>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</si>
  <si>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</si>
  <si>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</si>
  <si>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</si>
  <si>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</si>
  <si>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</si>
  <si>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</si>
  <si>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</si>
  <si>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</si>
  <si>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</si>
  <si>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</si>
  <si>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</si>
  <si>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</si>
  <si>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</si>
  <si>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</si>
  <si>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</si>
  <si>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</si>
  <si>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</si>
  <si>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</si>
  <si>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</si>
  <si>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</si>
  <si>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</si>
  <si>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</si>
  <si>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</si>
  <si>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</si>
  <si>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</si>
  <si>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</si>
  <si>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</si>
  <si>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</si>
  <si>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</si>
  <si>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</si>
  <si>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</si>
  <si>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</si>
  <si>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</si>
  <si>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</si>
  <si>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</si>
  <si>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</si>
  <si>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</si>
  <si>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</si>
  <si>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</si>
  <si>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</si>
  <si>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</si>
  <si>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</si>
  <si>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</si>
  <si>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</si>
  <si>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</si>
  <si>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</si>
  <si>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</si>
  <si>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</si>
  <si>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</si>
  <si>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</si>
  <si>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</si>
  <si>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</si>
  <si>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</si>
  <si>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</si>
  <si>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</si>
  <si>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</si>
  <si>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</si>
  <si>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</si>
  <si>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</si>
  <si>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</si>
  <si>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</si>
  <si>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</si>
  <si>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</si>
  <si>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</si>
  <si>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</si>
  <si>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</si>
  <si>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</si>
  <si>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</si>
  <si>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</si>
  <si>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</si>
  <si>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</si>
  <si>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</si>
  <si>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</si>
  <si>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</si>
  <si>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</si>
  <si>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</si>
  <si>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</si>
  <si>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</si>
  <si>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</si>
  <si>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</si>
  <si>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</si>
  <si>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</si>
  <si>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</si>
  <si>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</si>
  <si>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</si>
  <si>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</si>
  <si>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</si>
  <si>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</si>
  <si>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</si>
  <si>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</si>
  <si>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</si>
  <si>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</si>
  <si>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</si>
  <si>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</si>
  <si>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</si>
  <si>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</si>
  <si>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</si>
  <si>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</si>
  <si>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</si>
  <si>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</si>
  <si>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</si>
  <si>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</si>
  <si>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</si>
  <si>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</si>
  <si>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</si>
  <si>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</si>
  <si>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</si>
  <si>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</si>
  <si>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</si>
  <si>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</si>
  <si>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</si>
  <si>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</si>
  <si>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</si>
  <si>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</si>
  <si>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</si>
  <si>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</si>
  <si>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</si>
  <si>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</si>
  <si>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</si>
  <si>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</si>
  <si>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</si>
  <si>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</si>
  <si>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</si>
  <si>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</si>
  <si>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</si>
  <si>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</si>
  <si>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</si>
  <si>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</si>
  <si>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</si>
  <si>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</si>
  <si>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</si>
  <si>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</si>
  <si>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</si>
  <si>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</si>
  <si>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</si>
  <si>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</si>
  <si>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</si>
  <si>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</si>
  <si>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</si>
  <si>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</si>
  <si>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</si>
  <si>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</si>
  <si>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</si>
  <si>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</si>
  <si>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</si>
  <si>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</si>
  <si>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</si>
  <si>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</si>
  <si>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</si>
  <si>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</si>
  <si>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</si>
  <si>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</si>
  <si>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</si>
  <si>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</si>
  <si>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</si>
  <si>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</si>
  <si>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</si>
  <si>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</si>
  <si>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</si>
  <si>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</si>
  <si>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</si>
  <si>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</si>
  <si>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</si>
  <si>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</si>
  <si>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</si>
  <si>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</si>
  <si>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</si>
  <si>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</si>
  <si>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</si>
  <si>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</si>
  <si>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</si>
  <si>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</si>
  <si>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</si>
  <si>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</si>
  <si>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</si>
  <si>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</si>
  <si>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</si>
  <si>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</si>
  <si>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</si>
  <si>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</si>
  <si>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</si>
  <si>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</si>
  <si>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</si>
  <si>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</si>
  <si>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</si>
  <si>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</si>
  <si>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</si>
  <si>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</si>
  <si>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</si>
  <si>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</si>
  <si>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</si>
  <si>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</si>
  <si>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</si>
  <si>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</si>
  <si>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</si>
  <si>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</si>
  <si>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</si>
  <si>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</si>
  <si>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</si>
  <si>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</si>
  <si>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</si>
  <si>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</si>
  <si>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</si>
  <si>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</si>
  <si>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</si>
  <si>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</si>
  <si>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</si>
  <si>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</si>
  <si>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</si>
  <si>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</si>
  <si>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</si>
  <si>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</si>
  <si>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پارس 9164 تا 3800.4</t>
  </si>
  <si>
    <t>18/2/1398</t>
  </si>
  <si>
    <t>21/2/1398</t>
  </si>
  <si>
    <t>پارس 104 تا 3800.2</t>
  </si>
  <si>
    <t>12/2/1398</t>
  </si>
  <si>
    <t>13/2/1398</t>
  </si>
  <si>
    <t>16/2/1398</t>
  </si>
  <si>
    <t>؟</t>
  </si>
  <si>
    <t>واریز 400000 تومن به حساب مریم</t>
  </si>
  <si>
    <t>پارس 9214 تا 3686.5</t>
  </si>
  <si>
    <t>وغدیر 43467 تا 192</t>
  </si>
  <si>
    <t>22/2/1398</t>
  </si>
  <si>
    <t>پارس 99 تا 3607.3</t>
  </si>
  <si>
    <t>زاگرس 76 تا 4574</t>
  </si>
  <si>
    <t>بازگشایی زاگرس</t>
  </si>
  <si>
    <t>22/2/1399</t>
  </si>
  <si>
    <t>22/2/1400</t>
  </si>
  <si>
    <t>22/2/1401</t>
  </si>
  <si>
    <t>پارس 13707 تا 3589.3</t>
  </si>
  <si>
    <t>زاگرس 7422 تا 4730.9</t>
  </si>
  <si>
    <t>شاراک 4591 تا 671.9</t>
  </si>
  <si>
    <t>وغدیر 65547 تا 194.4</t>
  </si>
  <si>
    <t>23/2/1398</t>
  </si>
  <si>
    <t>پارس 1218 تا 3700</t>
  </si>
  <si>
    <t>پارس 324 تا 3720</t>
  </si>
  <si>
    <t>پارس 107 تا 3723</t>
  </si>
  <si>
    <t>پارس 3170 تا 3714.5</t>
  </si>
  <si>
    <t>پارس 1202 تا 3748.9</t>
  </si>
  <si>
    <t>بدهی به مهدی 23/2/1398</t>
  </si>
  <si>
    <t>24/2/1398</t>
  </si>
  <si>
    <t>25/2/1398</t>
  </si>
  <si>
    <t>سارا 2 میلیون واریز کرد که بخشی سود زاگرس بود</t>
  </si>
  <si>
    <t>پارس 527 تا 3780.6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</si>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</sst>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7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abSelected="1" workbookViewId="0">
      <selection activeCell="C13" sqref="C13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4993</v>
      </c>
      <c r="B1" s="99" t="s">
        <v>4994</v>
      </c>
      <c r="C1" s="99" t="s">
        <v>4995</v>
      </c>
      <c r="D1" s="99" t="s">
        <v>4996</v>
      </c>
      <c r="E1" s="99" t="s">
        <v>5006</v>
      </c>
      <c r="F1" s="99" t="s">
        <v>5005</v>
      </c>
      <c r="G1" s="99"/>
      <c r="I1" t="s">
        <v>4998</v>
      </c>
      <c r="J1" t="s">
        <v>5002</v>
      </c>
      <c r="K1" t="s">
        <v>5003</v>
      </c>
    </row>
    <row r="2" spans="1:11">
      <c r="A2" s="99" t="s">
        <v>4997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4999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5000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5001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4997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5004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5001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5007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5008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5009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5010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5011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4974</v>
      </c>
      <c r="E1" t="s">
        <v>4975</v>
      </c>
      <c r="F1" t="s">
        <v>8</v>
      </c>
    </row>
    <row r="2" spans="1:6">
      <c r="A2" t="s">
        <v>4978</v>
      </c>
      <c r="B2">
        <v>237</v>
      </c>
      <c r="C2">
        <v>281</v>
      </c>
      <c r="D2">
        <f>B2/C2</f>
        <v>0.84341637010676151</v>
      </c>
      <c r="E2" t="s">
        <v>4979</v>
      </c>
      <c r="F2" t="s">
        <v>4980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4979</v>
      </c>
      <c r="F3" s="96" t="s">
        <v>4980</v>
      </c>
    </row>
    <row r="4" spans="1:6">
      <c r="A4" t="s">
        <v>4981</v>
      </c>
      <c r="B4">
        <v>195</v>
      </c>
      <c r="C4">
        <v>73</v>
      </c>
      <c r="D4" s="96">
        <f t="shared" si="0"/>
        <v>2.6712328767123288</v>
      </c>
      <c r="E4" t="s">
        <v>4982</v>
      </c>
      <c r="F4" t="s">
        <v>4983</v>
      </c>
    </row>
    <row r="5" spans="1:6">
      <c r="A5" t="s">
        <v>4984</v>
      </c>
      <c r="B5">
        <v>1</v>
      </c>
      <c r="C5">
        <v>1</v>
      </c>
      <c r="D5" s="96">
        <f t="shared" si="0"/>
        <v>1</v>
      </c>
      <c r="E5" t="s">
        <v>4982</v>
      </c>
      <c r="F5" t="s">
        <v>4985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4980</v>
      </c>
    </row>
    <row r="7" spans="1:6">
      <c r="A7" t="s">
        <v>4986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4987</v>
      </c>
      <c r="B8">
        <v>335</v>
      </c>
      <c r="C8">
        <v>141</v>
      </c>
      <c r="D8" s="96">
        <f t="shared" si="0"/>
        <v>2.375886524822695</v>
      </c>
      <c r="F8" s="96" t="s">
        <v>4985</v>
      </c>
    </row>
    <row r="9" spans="1:6">
      <c r="A9" t="s">
        <v>4847</v>
      </c>
      <c r="B9">
        <v>150</v>
      </c>
      <c r="C9">
        <v>240</v>
      </c>
      <c r="D9" s="96">
        <f t="shared" si="0"/>
        <v>0.625</v>
      </c>
      <c r="F9" t="s">
        <v>4988</v>
      </c>
    </row>
    <row r="10" spans="1:6">
      <c r="A10" t="s">
        <v>4989</v>
      </c>
      <c r="B10">
        <v>187</v>
      </c>
      <c r="C10">
        <v>208</v>
      </c>
      <c r="D10" s="96">
        <f t="shared" si="0"/>
        <v>0.89903846153846156</v>
      </c>
      <c r="F10" t="s">
        <v>4979</v>
      </c>
    </row>
    <row r="11" spans="1:6">
      <c r="A11" t="s">
        <v>4990</v>
      </c>
      <c r="B11">
        <v>412</v>
      </c>
      <c r="C11">
        <v>183</v>
      </c>
      <c r="D11" s="96">
        <f t="shared" si="0"/>
        <v>2.2513661202185791</v>
      </c>
      <c r="F11" s="96" t="s">
        <v>4985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4973</v>
      </c>
      <c r="B21">
        <v>113</v>
      </c>
      <c r="C21">
        <v>215</v>
      </c>
      <c r="D21" s="96">
        <f t="shared" si="0"/>
        <v>0.52558139534883719</v>
      </c>
      <c r="E21" t="s">
        <v>4976</v>
      </c>
      <c r="F21" t="s">
        <v>4977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4908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4910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4907</v>
      </c>
      <c r="B4" s="18">
        <v>-960200</v>
      </c>
      <c r="C4" s="18">
        <v>0</v>
      </c>
      <c r="D4" s="113">
        <f t="shared" si="0"/>
        <v>-960200</v>
      </c>
      <c r="E4" s="99" t="s">
        <v>4911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4802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4802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4802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4813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4813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4813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4817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4818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4818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4823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4823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4837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4862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4872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4876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4876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4876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4878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4878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4879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4879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4884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4894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4894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4894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4912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4909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4914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4918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4928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4929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4936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4939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4951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4953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4954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4969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4972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5012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5013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5023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4627</v>
      </c>
      <c r="B293" s="18">
        <v>-96850</v>
      </c>
      <c r="C293" s="18">
        <v>0</v>
      </c>
      <c r="D293" s="18">
        <f t="shared" si="18"/>
        <v>-96850</v>
      </c>
      <c r="E293" s="99" t="s">
        <v>4632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4636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4636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4652</v>
      </c>
      <c r="B296" s="18">
        <v>-200000</v>
      </c>
      <c r="C296" s="18">
        <v>0</v>
      </c>
      <c r="D296" s="18">
        <f t="shared" si="18"/>
        <v>-200000</v>
      </c>
      <c r="E296" s="99" t="s">
        <v>4653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4663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4668</v>
      </c>
      <c r="B301" s="18">
        <v>-51400</v>
      </c>
      <c r="C301" s="18">
        <v>0</v>
      </c>
      <c r="D301" s="18">
        <f t="shared" si="18"/>
        <v>-51400</v>
      </c>
      <c r="E301" s="99" t="s">
        <v>4675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4697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4697</v>
      </c>
      <c r="B305" s="18">
        <v>-276773</v>
      </c>
      <c r="C305" s="18">
        <v>0</v>
      </c>
      <c r="D305" s="18">
        <f t="shared" si="18"/>
        <v>-276773</v>
      </c>
      <c r="E305" s="99" t="s">
        <v>4701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4702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4714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4720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4720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4731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4722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4723</v>
      </c>
      <c r="B312" s="18">
        <v>-324747</v>
      </c>
      <c r="C312" s="18">
        <v>0</v>
      </c>
      <c r="D312" s="18">
        <f t="shared" si="18"/>
        <v>-324747</v>
      </c>
      <c r="E312" s="99" t="s">
        <v>4732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4740</v>
      </c>
      <c r="B313" s="18">
        <v>-297992</v>
      </c>
      <c r="C313" s="18">
        <v>0</v>
      </c>
      <c r="D313" s="18">
        <f t="shared" si="18"/>
        <v>-297992</v>
      </c>
      <c r="E313" s="99" t="s">
        <v>4741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4749</v>
      </c>
      <c r="B315" s="18">
        <v>-40000</v>
      </c>
      <c r="C315" s="18">
        <v>0</v>
      </c>
      <c r="D315" s="18">
        <f t="shared" si="18"/>
        <v>-40000</v>
      </c>
      <c r="E315" s="99" t="s">
        <v>4762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4768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4791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4802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4802</v>
      </c>
      <c r="B319" s="18">
        <v>-1866154</v>
      </c>
      <c r="C319" s="18">
        <v>0</v>
      </c>
      <c r="D319" s="18">
        <f t="shared" si="18"/>
        <v>-1866154</v>
      </c>
      <c r="E319" s="19" t="s">
        <v>4811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4802</v>
      </c>
      <c r="B320" s="18">
        <v>-36600</v>
      </c>
      <c r="C320" s="18">
        <v>0</v>
      </c>
      <c r="D320" s="18">
        <f t="shared" si="18"/>
        <v>-36600</v>
      </c>
      <c r="E320" s="99" t="s">
        <v>4812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4813</v>
      </c>
      <c r="B321" s="18">
        <v>-492000</v>
      </c>
      <c r="C321" s="18">
        <v>0</v>
      </c>
      <c r="D321" s="18">
        <f t="shared" si="18"/>
        <v>-492000</v>
      </c>
      <c r="E321" s="99" t="s">
        <v>4814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4813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4813</v>
      </c>
      <c r="B323" s="18">
        <v>-40000</v>
      </c>
      <c r="C323" s="18">
        <v>0</v>
      </c>
      <c r="D323" s="18">
        <f t="shared" si="18"/>
        <v>-40000</v>
      </c>
      <c r="E323" s="99" t="s">
        <v>4816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4817</v>
      </c>
      <c r="B324" s="18">
        <v>-66000</v>
      </c>
      <c r="C324" s="18">
        <v>0</v>
      </c>
      <c r="D324" s="18">
        <f t="shared" si="18"/>
        <v>-66000</v>
      </c>
      <c r="E324" s="99" t="s">
        <v>4816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4818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4818</v>
      </c>
      <c r="B326" s="18">
        <v>-200500</v>
      </c>
      <c r="C326" s="18">
        <v>0</v>
      </c>
      <c r="D326" s="18">
        <f t="shared" si="18"/>
        <v>-200500</v>
      </c>
      <c r="E326" s="99" t="s">
        <v>4819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4823</v>
      </c>
      <c r="B327" s="18">
        <v>1563000</v>
      </c>
      <c r="C327" s="18">
        <v>0</v>
      </c>
      <c r="D327" s="18">
        <f t="shared" si="18"/>
        <v>1563000</v>
      </c>
      <c r="E327" s="99" t="s">
        <v>4828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4823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4837</v>
      </c>
      <c r="B329" s="18">
        <v>-20000</v>
      </c>
      <c r="C329" s="18">
        <v>0</v>
      </c>
      <c r="D329" s="18">
        <f t="shared" si="18"/>
        <v>-20000</v>
      </c>
      <c r="E329" s="99" t="s">
        <v>4841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4852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4857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4862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4872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4876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4876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4876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4878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4878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4879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4879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4884</v>
      </c>
      <c r="B341" s="18">
        <v>433375</v>
      </c>
      <c r="C341" s="18">
        <v>0</v>
      </c>
      <c r="D341" s="18">
        <f t="shared" si="18"/>
        <v>433375</v>
      </c>
      <c r="E341" s="99" t="s">
        <v>4888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4894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4894</v>
      </c>
      <c r="B343" s="18">
        <v>-300000</v>
      </c>
      <c r="C343" s="18">
        <v>0</v>
      </c>
      <c r="D343" s="18">
        <f t="shared" si="18"/>
        <v>-300000</v>
      </c>
      <c r="E343" s="99" t="s">
        <v>4897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4894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4904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4910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4907</v>
      </c>
      <c r="B347" s="18">
        <v>-960200</v>
      </c>
      <c r="C347" s="18">
        <v>0</v>
      </c>
      <c r="D347" s="18">
        <f t="shared" si="18"/>
        <v>-960200</v>
      </c>
      <c r="E347" s="99" t="s">
        <v>4911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4756</v>
      </c>
      <c r="B75" s="113">
        <v>-20000</v>
      </c>
      <c r="C75" s="99" t="s">
        <v>4763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6" activePane="bottomLeft" state="frozen"/>
      <selection pane="bottomLeft" activeCell="I302" sqref="I302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1075</v>
      </c>
      <c r="E2" s="11">
        <f>IF(B2&gt;0,1,0)</f>
        <v>1</v>
      </c>
      <c r="F2" s="11">
        <f>B2*(D2-E2)</f>
        <v>103855800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1073</v>
      </c>
      <c r="E3" s="11">
        <f t="shared" ref="E3:E66" si="1">IF(B3&gt;0,1,0)</f>
        <v>1</v>
      </c>
      <c r="F3" s="11">
        <f t="shared" ref="F3:F66" si="2">B3*(D3-E3)</f>
        <v>3216000000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1070</v>
      </c>
      <c r="E4" s="11">
        <f t="shared" si="1"/>
        <v>0</v>
      </c>
      <c r="F4" s="11">
        <f t="shared" si="2"/>
        <v>-214000000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1068</v>
      </c>
      <c r="E5" s="11">
        <f t="shared" si="1"/>
        <v>0</v>
      </c>
      <c r="F5" s="11">
        <f t="shared" si="2"/>
        <v>-106800000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1067</v>
      </c>
      <c r="E6" s="11">
        <f t="shared" si="1"/>
        <v>0</v>
      </c>
      <c r="F6" s="11">
        <f t="shared" si="2"/>
        <v>-58685000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1066</v>
      </c>
      <c r="E7" s="11">
        <f t="shared" si="1"/>
        <v>0</v>
      </c>
      <c r="F7" s="11">
        <f t="shared" si="2"/>
        <v>-213200000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1062</v>
      </c>
      <c r="E8" s="11">
        <f t="shared" si="1"/>
        <v>0</v>
      </c>
      <c r="F8" s="11">
        <f t="shared" si="2"/>
        <v>-212400000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1052</v>
      </c>
      <c r="E9" s="11">
        <f t="shared" si="1"/>
        <v>0</v>
      </c>
      <c r="F9" s="11">
        <f t="shared" si="2"/>
        <v>-999926000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1051</v>
      </c>
      <c r="E10" s="11">
        <f t="shared" si="1"/>
        <v>1</v>
      </c>
      <c r="F10" s="11">
        <f t="shared" si="2"/>
        <v>2100000000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1049</v>
      </c>
      <c r="E11" s="11">
        <f t="shared" si="1"/>
        <v>0</v>
      </c>
      <c r="F11" s="11">
        <f t="shared" si="2"/>
        <v>-1117185000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1046</v>
      </c>
      <c r="E12" s="11">
        <f t="shared" si="1"/>
        <v>0</v>
      </c>
      <c r="F12" s="11">
        <f t="shared" si="2"/>
        <v>-47070000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1045</v>
      </c>
      <c r="E13" s="11">
        <f t="shared" si="1"/>
        <v>0</v>
      </c>
      <c r="F13" s="11">
        <f t="shared" si="2"/>
        <v>-2090731500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1041</v>
      </c>
      <c r="E14" s="11">
        <f t="shared" si="1"/>
        <v>0</v>
      </c>
      <c r="F14" s="11">
        <f t="shared" si="2"/>
        <v>-208200000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1039</v>
      </c>
      <c r="E15" s="11">
        <f t="shared" si="1"/>
        <v>1</v>
      </c>
      <c r="F15" s="11">
        <f t="shared" si="2"/>
        <v>2076000000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1039</v>
      </c>
      <c r="E16" s="11">
        <f t="shared" si="1"/>
        <v>1</v>
      </c>
      <c r="F16" s="11">
        <f t="shared" si="2"/>
        <v>2076000000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1039</v>
      </c>
      <c r="E17" s="11">
        <f t="shared" si="1"/>
        <v>1</v>
      </c>
      <c r="F17" s="11">
        <f t="shared" si="2"/>
        <v>1245600000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1039</v>
      </c>
      <c r="E18" s="11">
        <f t="shared" si="1"/>
        <v>1</v>
      </c>
      <c r="F18" s="11">
        <f t="shared" si="2"/>
        <v>1038000000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1038</v>
      </c>
      <c r="E19" s="11">
        <f t="shared" si="1"/>
        <v>1</v>
      </c>
      <c r="F19" s="11">
        <f t="shared" si="2"/>
        <v>3111000000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1038</v>
      </c>
      <c r="E20" s="11">
        <f t="shared" si="1"/>
        <v>0</v>
      </c>
      <c r="F20" s="11">
        <f t="shared" si="2"/>
        <v>-449142600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1038</v>
      </c>
      <c r="E21" s="11">
        <f t="shared" si="1"/>
        <v>0</v>
      </c>
      <c r="F21" s="11">
        <f t="shared" si="2"/>
        <v>-449142600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1038</v>
      </c>
      <c r="E22" s="11">
        <f t="shared" si="1"/>
        <v>0</v>
      </c>
      <c r="F22" s="11">
        <f t="shared" si="2"/>
        <v>-449142600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1038</v>
      </c>
      <c r="E23" s="11">
        <f t="shared" si="1"/>
        <v>0</v>
      </c>
      <c r="F23" s="11">
        <f t="shared" si="2"/>
        <v>-449142600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1038</v>
      </c>
      <c r="E24" s="11">
        <f t="shared" si="1"/>
        <v>0</v>
      </c>
      <c r="F24" s="11">
        <f t="shared" si="2"/>
        <v>-449142600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1038</v>
      </c>
      <c r="E25" s="11">
        <f t="shared" si="1"/>
        <v>0</v>
      </c>
      <c r="F25" s="11">
        <f t="shared" si="2"/>
        <v>-207600000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1037</v>
      </c>
      <c r="E26" s="11">
        <f t="shared" si="1"/>
        <v>1</v>
      </c>
      <c r="F26" s="11">
        <f t="shared" si="2"/>
        <v>3108000000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1035</v>
      </c>
      <c r="E27" s="11">
        <f t="shared" si="1"/>
        <v>0</v>
      </c>
      <c r="F27" s="11">
        <f t="shared" si="2"/>
        <v>-207000000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1034</v>
      </c>
      <c r="E28" s="11">
        <f t="shared" si="1"/>
        <v>1</v>
      </c>
      <c r="F28" s="11">
        <f t="shared" si="2"/>
        <v>2066000000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1033</v>
      </c>
      <c r="E29" s="11">
        <f t="shared" si="1"/>
        <v>0</v>
      </c>
      <c r="F29" s="11">
        <f t="shared" si="2"/>
        <v>-7231826400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1032</v>
      </c>
      <c r="E30" s="11">
        <f t="shared" si="1"/>
        <v>0</v>
      </c>
      <c r="F30" s="11">
        <f t="shared" si="2"/>
        <v>-3096928800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1031</v>
      </c>
      <c r="E31" s="11">
        <f t="shared" si="1"/>
        <v>0</v>
      </c>
      <c r="F31" s="11">
        <f t="shared" si="2"/>
        <v>-1748472900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1028</v>
      </c>
      <c r="E32" s="11">
        <f t="shared" si="1"/>
        <v>1</v>
      </c>
      <c r="F32" s="11">
        <f t="shared" si="2"/>
        <v>1021146100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1022</v>
      </c>
      <c r="E33" s="11">
        <f t="shared" si="1"/>
        <v>1</v>
      </c>
      <c r="F33" s="11">
        <f t="shared" si="2"/>
        <v>35827911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1021</v>
      </c>
      <c r="E34" s="11">
        <f t="shared" si="1"/>
        <v>0</v>
      </c>
      <c r="F34" s="11">
        <f t="shared" si="2"/>
        <v>-867850000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1013</v>
      </c>
      <c r="E35" s="11">
        <f t="shared" si="1"/>
        <v>0</v>
      </c>
      <c r="F35" s="11">
        <f t="shared" si="2"/>
        <v>-192976500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1012</v>
      </c>
      <c r="E36" s="11">
        <f t="shared" si="1"/>
        <v>1</v>
      </c>
      <c r="F36" s="11">
        <f t="shared" si="2"/>
        <v>202200000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1012</v>
      </c>
      <c r="E37" s="11">
        <f t="shared" si="1"/>
        <v>0</v>
      </c>
      <c r="F37" s="11">
        <f t="shared" si="2"/>
        <v>-202400000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990</v>
      </c>
      <c r="E38" s="11">
        <f t="shared" si="1"/>
        <v>1</v>
      </c>
      <c r="F38" s="11">
        <f t="shared" si="2"/>
        <v>297497134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989</v>
      </c>
      <c r="E39" s="11">
        <f t="shared" si="1"/>
        <v>0</v>
      </c>
      <c r="F39" s="11">
        <f t="shared" si="2"/>
        <v>-93955000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989</v>
      </c>
      <c r="E40" s="11">
        <f t="shared" si="1"/>
        <v>0</v>
      </c>
      <c r="F40" s="11">
        <f t="shared" si="2"/>
        <v>-87133867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984</v>
      </c>
      <c r="E41" s="11">
        <f t="shared" si="1"/>
        <v>0</v>
      </c>
      <c r="F41" s="11">
        <f t="shared" si="2"/>
        <v>-118080000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962</v>
      </c>
      <c r="E42" s="11">
        <f t="shared" si="1"/>
        <v>1</v>
      </c>
      <c r="F42" s="11">
        <f t="shared" si="2"/>
        <v>961196044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958</v>
      </c>
      <c r="E43" s="11">
        <f t="shared" si="1"/>
        <v>0</v>
      </c>
      <c r="F43" s="11">
        <f t="shared" si="2"/>
        <v>-76640000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954</v>
      </c>
      <c r="E44" s="11">
        <f t="shared" si="1"/>
        <v>0</v>
      </c>
      <c r="F44" s="11">
        <f t="shared" si="2"/>
        <v>-201321666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953</v>
      </c>
      <c r="E45" s="11">
        <f t="shared" si="1"/>
        <v>0</v>
      </c>
      <c r="F45" s="11">
        <f t="shared" si="2"/>
        <v>-190600000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952</v>
      </c>
      <c r="E46" s="11">
        <f t="shared" si="1"/>
        <v>0</v>
      </c>
      <c r="F46" s="11">
        <f t="shared" si="2"/>
        <v>-90440000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950</v>
      </c>
      <c r="E47" s="11">
        <f t="shared" si="1"/>
        <v>0</v>
      </c>
      <c r="F47" s="11">
        <f t="shared" si="2"/>
        <v>-42750000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950</v>
      </c>
      <c r="E48" s="11">
        <f t="shared" si="1"/>
        <v>0</v>
      </c>
      <c r="F48" s="11">
        <f t="shared" si="2"/>
        <v>-60971000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947</v>
      </c>
      <c r="E49" s="11">
        <f t="shared" si="1"/>
        <v>0</v>
      </c>
      <c r="F49" s="11">
        <f t="shared" si="2"/>
        <v>-26027348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946</v>
      </c>
      <c r="E50" s="11">
        <f t="shared" si="1"/>
        <v>0</v>
      </c>
      <c r="F50" s="11">
        <f t="shared" si="2"/>
        <v>-133386000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946</v>
      </c>
      <c r="E51" s="11">
        <f t="shared" si="1"/>
        <v>0</v>
      </c>
      <c r="F51" s="11">
        <f t="shared" si="2"/>
        <v>-25301716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945</v>
      </c>
      <c r="E52" s="11">
        <f t="shared" si="1"/>
        <v>0</v>
      </c>
      <c r="F52" s="11">
        <f t="shared" si="2"/>
        <v>-50368500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944</v>
      </c>
      <c r="E53" s="11">
        <f t="shared" si="1"/>
        <v>1</v>
      </c>
      <c r="F53" s="11">
        <f t="shared" si="2"/>
        <v>943000000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938</v>
      </c>
      <c r="E54" s="11">
        <f t="shared" si="1"/>
        <v>0</v>
      </c>
      <c r="F54" s="11">
        <f t="shared" si="2"/>
        <v>-19698000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937</v>
      </c>
      <c r="E55" s="11">
        <f t="shared" si="1"/>
        <v>0</v>
      </c>
      <c r="F55" s="11">
        <f t="shared" si="2"/>
        <v>-918728500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937</v>
      </c>
      <c r="E56" s="11">
        <f t="shared" si="1"/>
        <v>0</v>
      </c>
      <c r="F56" s="11">
        <f t="shared" si="2"/>
        <v>-42165000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924</v>
      </c>
      <c r="E57" s="11">
        <f t="shared" si="1"/>
        <v>1</v>
      </c>
      <c r="F57" s="11">
        <f t="shared" si="2"/>
        <v>2773789447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924</v>
      </c>
      <c r="E58" s="11">
        <f t="shared" si="1"/>
        <v>1</v>
      </c>
      <c r="F58" s="11">
        <f t="shared" si="2"/>
        <v>1846000000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923</v>
      </c>
      <c r="E59" s="11">
        <f t="shared" si="1"/>
        <v>1</v>
      </c>
      <c r="F59" s="11">
        <f t="shared" si="2"/>
        <v>1844000000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923</v>
      </c>
      <c r="E60" s="11">
        <f t="shared" si="1"/>
        <v>0</v>
      </c>
      <c r="F60" s="11">
        <f t="shared" si="2"/>
        <v>-6462384500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899</v>
      </c>
      <c r="E61" s="11">
        <f t="shared" si="1"/>
        <v>1</v>
      </c>
      <c r="F61" s="11">
        <f t="shared" si="2"/>
        <v>2694000000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898</v>
      </c>
      <c r="E62" s="11">
        <f t="shared" si="1"/>
        <v>0</v>
      </c>
      <c r="F62" s="11">
        <f t="shared" si="2"/>
        <v>-24343882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898</v>
      </c>
      <c r="E63" s="11">
        <f t="shared" si="1"/>
        <v>0</v>
      </c>
      <c r="F63" s="11">
        <f t="shared" si="2"/>
        <v>-29624122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898</v>
      </c>
      <c r="E64" s="11">
        <f t="shared" si="1"/>
        <v>1</v>
      </c>
      <c r="F64" s="11">
        <f t="shared" si="2"/>
        <v>2691000000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898</v>
      </c>
      <c r="E65" s="11">
        <f t="shared" si="1"/>
        <v>1</v>
      </c>
      <c r="F65" s="11">
        <f t="shared" si="2"/>
        <v>2664090000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898</v>
      </c>
      <c r="E66" s="11">
        <f t="shared" si="1"/>
        <v>1</v>
      </c>
      <c r="F66" s="11">
        <f t="shared" si="2"/>
        <v>897000000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898</v>
      </c>
      <c r="E67" s="11">
        <f t="shared" ref="E67:E130" si="4">IF(B67&gt;0,1,0)</f>
        <v>1</v>
      </c>
      <c r="F67" s="11">
        <f t="shared" ref="F67:F248" si="5">B67*(D67-E67)</f>
        <v>26910000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897</v>
      </c>
      <c r="E68" s="11">
        <f t="shared" si="4"/>
        <v>1</v>
      </c>
      <c r="F68" s="11">
        <f t="shared" si="5"/>
        <v>26880000000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896</v>
      </c>
      <c r="E69" s="11">
        <f t="shared" si="4"/>
        <v>0</v>
      </c>
      <c r="F69" s="11">
        <f t="shared" si="5"/>
        <v>-179200000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896</v>
      </c>
      <c r="E70" s="11">
        <f t="shared" si="4"/>
        <v>1</v>
      </c>
      <c r="F70" s="11">
        <f t="shared" si="5"/>
        <v>1253000000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896</v>
      </c>
      <c r="E71" s="11">
        <f t="shared" si="4"/>
        <v>1</v>
      </c>
      <c r="F71" s="11">
        <f t="shared" si="5"/>
        <v>2327000000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896</v>
      </c>
      <c r="E72" s="11">
        <f t="shared" si="4"/>
        <v>0</v>
      </c>
      <c r="F72" s="11">
        <f t="shared" si="5"/>
        <v>-896000000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894</v>
      </c>
      <c r="E73" s="11">
        <f t="shared" si="4"/>
        <v>1</v>
      </c>
      <c r="F73" s="11">
        <f t="shared" si="5"/>
        <v>13395000000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889</v>
      </c>
      <c r="E74" s="11">
        <f t="shared" si="4"/>
        <v>0</v>
      </c>
      <c r="F74" s="11">
        <f t="shared" si="5"/>
        <v>-13338733800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887</v>
      </c>
      <c r="E75" s="11">
        <f t="shared" si="4"/>
        <v>0</v>
      </c>
      <c r="F75" s="11">
        <f t="shared" si="5"/>
        <v>-2661000000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887</v>
      </c>
      <c r="E76" s="11">
        <f t="shared" si="4"/>
        <v>0</v>
      </c>
      <c r="F76" s="11">
        <f t="shared" si="5"/>
        <v>-177400000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887</v>
      </c>
      <c r="E77" s="11">
        <f t="shared" si="4"/>
        <v>0</v>
      </c>
      <c r="F77" s="11">
        <f t="shared" si="5"/>
        <v>-10646661000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883</v>
      </c>
      <c r="E78" s="11">
        <f t="shared" si="4"/>
        <v>0</v>
      </c>
      <c r="F78" s="11">
        <f t="shared" si="5"/>
        <v>-2649794700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878</v>
      </c>
      <c r="E79" s="11">
        <f t="shared" si="4"/>
        <v>1</v>
      </c>
      <c r="F79" s="11">
        <f t="shared" si="5"/>
        <v>20171000000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873</v>
      </c>
      <c r="E80" s="11">
        <f t="shared" si="4"/>
        <v>0</v>
      </c>
      <c r="F80" s="11">
        <f t="shared" si="5"/>
        <v>-524236500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873</v>
      </c>
      <c r="E81" s="11">
        <f t="shared" si="4"/>
        <v>0</v>
      </c>
      <c r="F81" s="11">
        <f t="shared" si="5"/>
        <v>-174600000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872</v>
      </c>
      <c r="E82" s="11">
        <f t="shared" si="4"/>
        <v>1</v>
      </c>
      <c r="F82" s="11">
        <f t="shared" si="5"/>
        <v>246685491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872</v>
      </c>
      <c r="E83" s="11">
        <f t="shared" si="4"/>
        <v>0</v>
      </c>
      <c r="F83" s="11">
        <f t="shared" si="5"/>
        <v>-174400000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870</v>
      </c>
      <c r="E84" s="11">
        <f t="shared" si="4"/>
        <v>1</v>
      </c>
      <c r="F84" s="11">
        <f t="shared" si="5"/>
        <v>1738000000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867</v>
      </c>
      <c r="E85" s="11">
        <f t="shared" si="4"/>
        <v>0</v>
      </c>
      <c r="F85" s="11">
        <f t="shared" si="5"/>
        <v>-173400000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861</v>
      </c>
      <c r="E86" s="11">
        <f t="shared" si="4"/>
        <v>0</v>
      </c>
      <c r="F86" s="11">
        <f t="shared" si="5"/>
        <v>-172200000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859</v>
      </c>
      <c r="E87" s="11">
        <f t="shared" si="4"/>
        <v>0</v>
      </c>
      <c r="F87" s="11">
        <f t="shared" si="5"/>
        <v>-1138175000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844</v>
      </c>
      <c r="E88" s="11">
        <f t="shared" si="4"/>
        <v>0</v>
      </c>
      <c r="F88" s="11">
        <f t="shared" si="5"/>
        <v>-422000000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844</v>
      </c>
      <c r="E89" s="11">
        <f t="shared" si="4"/>
        <v>0</v>
      </c>
      <c r="F89" s="11">
        <f t="shared" si="5"/>
        <v>-101280000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842</v>
      </c>
      <c r="E90" s="11">
        <f t="shared" si="4"/>
        <v>1</v>
      </c>
      <c r="F90" s="11">
        <f t="shared" si="5"/>
        <v>360120405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839</v>
      </c>
      <c r="E91" s="11">
        <f t="shared" si="4"/>
        <v>0</v>
      </c>
      <c r="F91" s="11">
        <f t="shared" si="5"/>
        <v>-2518678000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837</v>
      </c>
      <c r="E92" s="11">
        <f t="shared" si="4"/>
        <v>0</v>
      </c>
      <c r="F92" s="11">
        <f t="shared" si="5"/>
        <v>-171585000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837</v>
      </c>
      <c r="E93" s="11">
        <f t="shared" si="4"/>
        <v>0</v>
      </c>
      <c r="F93" s="11">
        <f t="shared" si="5"/>
        <v>-293368500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826</v>
      </c>
      <c r="E94" s="11">
        <f t="shared" si="4"/>
        <v>1</v>
      </c>
      <c r="F94" s="11">
        <f t="shared" si="5"/>
        <v>825000000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821</v>
      </c>
      <c r="E95" s="11">
        <f t="shared" si="4"/>
        <v>1</v>
      </c>
      <c r="F95" s="11">
        <f t="shared" si="5"/>
        <v>7380000000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819</v>
      </c>
      <c r="E96" s="11">
        <f t="shared" si="4"/>
        <v>0</v>
      </c>
      <c r="F96" s="11">
        <f t="shared" si="5"/>
        <v>-21294000000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819</v>
      </c>
      <c r="E97" s="11">
        <f t="shared" si="4"/>
        <v>0</v>
      </c>
      <c r="F97" s="11">
        <f t="shared" si="5"/>
        <v>-21294000000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819</v>
      </c>
      <c r="E98" s="11">
        <f t="shared" si="4"/>
        <v>1</v>
      </c>
      <c r="F98" s="11">
        <f t="shared" si="5"/>
        <v>21268000000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819</v>
      </c>
      <c r="E99" s="11">
        <f t="shared" si="4"/>
        <v>0</v>
      </c>
      <c r="F99" s="11">
        <f t="shared" si="5"/>
        <v>-163800000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817</v>
      </c>
      <c r="E100" s="11">
        <f t="shared" si="4"/>
        <v>1</v>
      </c>
      <c r="F100" s="11">
        <f t="shared" si="5"/>
        <v>23827200000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812</v>
      </c>
      <c r="E101" s="11">
        <f t="shared" si="4"/>
        <v>1</v>
      </c>
      <c r="F101" s="11">
        <f t="shared" si="5"/>
        <v>324355395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811</v>
      </c>
      <c r="E102" s="11">
        <f t="shared" si="4"/>
        <v>1</v>
      </c>
      <c r="F102" s="11">
        <f t="shared" si="5"/>
        <v>1620000000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810</v>
      </c>
      <c r="E103" s="11">
        <f t="shared" si="4"/>
        <v>1</v>
      </c>
      <c r="F103" s="11">
        <f t="shared" si="5"/>
        <v>6067500000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810</v>
      </c>
      <c r="E104" s="11">
        <f t="shared" si="4"/>
        <v>0</v>
      </c>
      <c r="F104" s="11">
        <f t="shared" si="5"/>
        <v>-53460000000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810</v>
      </c>
      <c r="E105" s="11">
        <f t="shared" si="4"/>
        <v>0</v>
      </c>
      <c r="F105" s="11">
        <f t="shared" si="5"/>
        <v>-117450000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808</v>
      </c>
      <c r="E106" s="11">
        <f t="shared" si="4"/>
        <v>1</v>
      </c>
      <c r="F106" s="11">
        <f t="shared" si="5"/>
        <v>4842000000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806</v>
      </c>
      <c r="E107" s="11">
        <f t="shared" si="4"/>
        <v>0</v>
      </c>
      <c r="F107" s="11">
        <f t="shared" si="5"/>
        <v>-4840755400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803</v>
      </c>
      <c r="E108" s="11">
        <f t="shared" si="4"/>
        <v>1</v>
      </c>
      <c r="F108" s="11">
        <f t="shared" si="5"/>
        <v>4812000000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791</v>
      </c>
      <c r="E109" s="11">
        <f t="shared" si="4"/>
        <v>0</v>
      </c>
      <c r="F109" s="11">
        <f t="shared" si="5"/>
        <v>-94920000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790</v>
      </c>
      <c r="E110" s="11">
        <f t="shared" si="4"/>
        <v>1</v>
      </c>
      <c r="F110" s="11">
        <f t="shared" si="5"/>
        <v>3156000000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789</v>
      </c>
      <c r="E111" s="11">
        <f t="shared" si="4"/>
        <v>1</v>
      </c>
      <c r="F111" s="11">
        <f t="shared" si="5"/>
        <v>2206400000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785</v>
      </c>
      <c r="E112" s="11">
        <f t="shared" si="4"/>
        <v>0</v>
      </c>
      <c r="F112" s="11">
        <f t="shared" si="5"/>
        <v>-157000000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784</v>
      </c>
      <c r="E113" s="11">
        <f t="shared" si="4"/>
        <v>1</v>
      </c>
      <c r="F113" s="11">
        <f t="shared" si="5"/>
        <v>56618730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767</v>
      </c>
      <c r="E114" s="11">
        <f t="shared" si="4"/>
        <v>0</v>
      </c>
      <c r="F114" s="11">
        <f t="shared" si="5"/>
        <v>-153400000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766</v>
      </c>
      <c r="E115" s="11">
        <f t="shared" si="4"/>
        <v>0</v>
      </c>
      <c r="F115" s="23">
        <f t="shared" si="5"/>
        <v>-8426000000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766</v>
      </c>
      <c r="E116" s="11">
        <f t="shared" si="4"/>
        <v>0</v>
      </c>
      <c r="F116" s="11">
        <f t="shared" si="5"/>
        <v>-153200000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764</v>
      </c>
      <c r="E117" s="11">
        <f t="shared" si="4"/>
        <v>0</v>
      </c>
      <c r="F117" s="11">
        <f t="shared" si="5"/>
        <v>-344182000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764</v>
      </c>
      <c r="E118" s="11">
        <f t="shared" si="4"/>
        <v>0</v>
      </c>
      <c r="F118" s="11">
        <f t="shared" si="5"/>
        <v>-152800000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758</v>
      </c>
      <c r="E119" s="11">
        <f t="shared" si="4"/>
        <v>0</v>
      </c>
      <c r="F119" s="11">
        <f t="shared" si="5"/>
        <v>-117148900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758</v>
      </c>
      <c r="E120" s="11">
        <f t="shared" si="4"/>
        <v>0</v>
      </c>
      <c r="F120" s="11">
        <f t="shared" si="5"/>
        <v>-242560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757</v>
      </c>
      <c r="E121" s="11">
        <f t="shared" si="4"/>
        <v>0</v>
      </c>
      <c r="F121" s="11">
        <f t="shared" si="5"/>
        <v>-327024000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751</v>
      </c>
      <c r="E122" s="11">
        <f t="shared" si="4"/>
        <v>1</v>
      </c>
      <c r="F122" s="11">
        <f t="shared" si="5"/>
        <v>55532250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730</v>
      </c>
      <c r="E123" s="11">
        <f t="shared" si="4"/>
        <v>0</v>
      </c>
      <c r="F123" s="11">
        <f t="shared" si="5"/>
        <v>-37960000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689</v>
      </c>
      <c r="E124" s="11">
        <f t="shared" si="4"/>
        <v>1</v>
      </c>
      <c r="F124" s="11">
        <f t="shared" si="5"/>
        <v>816656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688</v>
      </c>
      <c r="E125" s="11">
        <f t="shared" si="4"/>
        <v>1</v>
      </c>
      <c r="F125" s="11">
        <f t="shared" si="5"/>
        <v>1648800000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686</v>
      </c>
      <c r="E126" s="11">
        <f t="shared" si="4"/>
        <v>1</v>
      </c>
      <c r="F126" s="11">
        <f t="shared" si="5"/>
        <v>919818000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686</v>
      </c>
      <c r="E127" s="11">
        <f t="shared" si="4"/>
        <v>1</v>
      </c>
      <c r="F127" s="11">
        <f t="shared" si="5"/>
        <v>919818000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674</v>
      </c>
      <c r="E128" s="11">
        <f t="shared" si="4"/>
        <v>0</v>
      </c>
      <c r="F128" s="11">
        <f t="shared" si="5"/>
        <v>-134800000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672</v>
      </c>
      <c r="E129" s="11">
        <f t="shared" si="4"/>
        <v>0</v>
      </c>
      <c r="F129" s="11">
        <f>B129*(D129-E129)</f>
        <v>-10495296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671</v>
      </c>
      <c r="E130" s="11">
        <f t="shared" si="4"/>
        <v>0</v>
      </c>
      <c r="F130" s="11">
        <f t="shared" si="5"/>
        <v>-134200000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670</v>
      </c>
      <c r="E131" s="11">
        <f t="shared" ref="E131:E248" si="7">IF(B131&gt;0,1,0)</f>
        <v>0</v>
      </c>
      <c r="F131" s="11">
        <f t="shared" si="5"/>
        <v>-134000000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669</v>
      </c>
      <c r="E132" s="11">
        <f t="shared" si="7"/>
        <v>0</v>
      </c>
      <c r="F132" s="11">
        <f t="shared" si="5"/>
        <v>-260910000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669</v>
      </c>
      <c r="E133" s="11">
        <f t="shared" si="7"/>
        <v>0</v>
      </c>
      <c r="F133" s="11">
        <f t="shared" si="5"/>
        <v>-16390500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668</v>
      </c>
      <c r="E134" s="11">
        <f t="shared" si="7"/>
        <v>0</v>
      </c>
      <c r="F134" s="11">
        <f t="shared" si="5"/>
        <v>-63460000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664</v>
      </c>
      <c r="E135" s="11">
        <f t="shared" si="7"/>
        <v>0</v>
      </c>
      <c r="F135" s="11">
        <f t="shared" si="5"/>
        <v>-132800000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662</v>
      </c>
      <c r="E136" s="11">
        <f t="shared" si="7"/>
        <v>1</v>
      </c>
      <c r="F136" s="11">
        <f t="shared" si="5"/>
        <v>33050000000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661</v>
      </c>
      <c r="E137" s="11">
        <f t="shared" si="7"/>
        <v>1</v>
      </c>
      <c r="F137" s="11">
        <f t="shared" si="5"/>
        <v>7920000000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659</v>
      </c>
      <c r="E138" s="11">
        <f t="shared" si="7"/>
        <v>1</v>
      </c>
      <c r="F138" s="11">
        <f t="shared" si="5"/>
        <v>1316000000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658</v>
      </c>
      <c r="E139" s="11">
        <f t="shared" si="7"/>
        <v>1</v>
      </c>
      <c r="F139" s="11">
        <f t="shared" si="5"/>
        <v>57512466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645</v>
      </c>
      <c r="E140" s="11">
        <f t="shared" si="7"/>
        <v>0</v>
      </c>
      <c r="F140" s="11">
        <f t="shared" si="5"/>
        <v>-1935580500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644</v>
      </c>
      <c r="E141" s="11">
        <f t="shared" si="7"/>
        <v>0</v>
      </c>
      <c r="F141" s="11">
        <f t="shared" si="5"/>
        <v>-1932579600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627</v>
      </c>
      <c r="E142" s="11">
        <f t="shared" si="7"/>
        <v>1</v>
      </c>
      <c r="F142" s="11">
        <f t="shared" si="5"/>
        <v>376867650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627</v>
      </c>
      <c r="E143" s="11">
        <f t="shared" si="7"/>
        <v>0</v>
      </c>
      <c r="F143" s="11">
        <f t="shared" si="5"/>
        <v>-28842000000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596</v>
      </c>
      <c r="E144" s="11">
        <f t="shared" si="7"/>
        <v>1</v>
      </c>
      <c r="F144" s="11">
        <f t="shared" si="5"/>
        <v>91693665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595</v>
      </c>
      <c r="E145" s="11">
        <f t="shared" si="7"/>
        <v>1</v>
      </c>
      <c r="F145" s="11">
        <f t="shared" si="5"/>
        <v>1782000000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592</v>
      </c>
      <c r="E146" s="11">
        <f t="shared" si="7"/>
        <v>0</v>
      </c>
      <c r="F146" s="11">
        <f t="shared" si="5"/>
        <v>-118400000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587</v>
      </c>
      <c r="E147" s="11">
        <f t="shared" si="7"/>
        <v>0</v>
      </c>
      <c r="F147" s="11">
        <f t="shared" si="5"/>
        <v>-117400000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586</v>
      </c>
      <c r="E148" s="11">
        <f t="shared" si="7"/>
        <v>0</v>
      </c>
      <c r="F148" s="11">
        <f t="shared" si="5"/>
        <v>-117200000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582</v>
      </c>
      <c r="E149" s="11">
        <f t="shared" si="7"/>
        <v>0</v>
      </c>
      <c r="F149" s="11">
        <f t="shared" si="5"/>
        <v>-116400000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581</v>
      </c>
      <c r="E150" s="11">
        <f t="shared" si="7"/>
        <v>1</v>
      </c>
      <c r="F150" s="11">
        <f t="shared" si="5"/>
        <v>13962572000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579</v>
      </c>
      <c r="E151" s="11">
        <f t="shared" si="7"/>
        <v>0</v>
      </c>
      <c r="F151" s="11">
        <f t="shared" si="5"/>
        <v>-115800000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573</v>
      </c>
      <c r="E152" s="11">
        <f t="shared" si="7"/>
        <v>0</v>
      </c>
      <c r="F152" s="11">
        <f t="shared" si="5"/>
        <v>-17190000000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572</v>
      </c>
      <c r="E153" s="11">
        <f t="shared" si="7"/>
        <v>0</v>
      </c>
      <c r="F153" s="11">
        <f t="shared" si="5"/>
        <v>-29744000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572</v>
      </c>
      <c r="E154" s="11">
        <f t="shared" si="7"/>
        <v>0</v>
      </c>
      <c r="F154" s="11">
        <f t="shared" si="5"/>
        <v>-77792000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567</v>
      </c>
      <c r="E155" s="11">
        <f t="shared" si="7"/>
        <v>1</v>
      </c>
      <c r="F155" s="11">
        <f t="shared" si="5"/>
        <v>1698000000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566</v>
      </c>
      <c r="E156" s="11">
        <f t="shared" si="7"/>
        <v>1</v>
      </c>
      <c r="F156" s="11">
        <f t="shared" si="5"/>
        <v>106843195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566</v>
      </c>
      <c r="E157" s="11">
        <f t="shared" si="7"/>
        <v>1</v>
      </c>
      <c r="F157" s="11">
        <f t="shared" si="5"/>
        <v>13688650500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558</v>
      </c>
      <c r="E158" s="11">
        <f t="shared" si="7"/>
        <v>1</v>
      </c>
      <c r="F158" s="11">
        <f t="shared" si="5"/>
        <v>13532426400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558</v>
      </c>
      <c r="E159" s="11">
        <f t="shared" si="7"/>
        <v>0</v>
      </c>
      <c r="F159" s="11">
        <f t="shared" si="5"/>
        <v>-112158000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553</v>
      </c>
      <c r="E160" s="11">
        <f t="shared" si="7"/>
        <v>0</v>
      </c>
      <c r="F160" s="11">
        <f t="shared" si="5"/>
        <v>-110600000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550</v>
      </c>
      <c r="E161" s="11">
        <f t="shared" si="7"/>
        <v>0</v>
      </c>
      <c r="F161" s="11">
        <f t="shared" si="5"/>
        <v>-110000000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546</v>
      </c>
      <c r="E162" s="11">
        <f t="shared" si="7"/>
        <v>0</v>
      </c>
      <c r="F162" s="11">
        <f t="shared" si="5"/>
        <v>-109200000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543</v>
      </c>
      <c r="E163" s="11">
        <f t="shared" si="7"/>
        <v>0</v>
      </c>
      <c r="F163" s="11">
        <f t="shared" si="5"/>
        <v>-108600000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536</v>
      </c>
      <c r="E164" s="11">
        <f t="shared" si="7"/>
        <v>1</v>
      </c>
      <c r="F164" s="11">
        <f t="shared" si="5"/>
        <v>244855590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533</v>
      </c>
      <c r="E165" s="11">
        <f t="shared" si="7"/>
        <v>1</v>
      </c>
      <c r="F165" s="11">
        <f t="shared" si="5"/>
        <v>1436400000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533</v>
      </c>
      <c r="E166" s="11">
        <f t="shared" si="7"/>
        <v>1</v>
      </c>
      <c r="F166" s="11">
        <f t="shared" si="5"/>
        <v>1330000000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526</v>
      </c>
      <c r="E167" s="11">
        <f t="shared" si="7"/>
        <v>0</v>
      </c>
      <c r="F167" s="11">
        <f t="shared" si="5"/>
        <v>-105200000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524</v>
      </c>
      <c r="E168" s="11">
        <f t="shared" si="7"/>
        <v>0</v>
      </c>
      <c r="F168" s="11">
        <f t="shared" si="5"/>
        <v>-104800000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518</v>
      </c>
      <c r="E169" s="11">
        <f t="shared" si="7"/>
        <v>0</v>
      </c>
      <c r="F169" s="11">
        <f t="shared" si="5"/>
        <v>-103600000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515</v>
      </c>
      <c r="E170" s="11">
        <f t="shared" si="7"/>
        <v>0</v>
      </c>
      <c r="F170" s="11">
        <f t="shared" si="5"/>
        <v>-103000000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515</v>
      </c>
      <c r="E171" s="11">
        <f t="shared" si="7"/>
        <v>1</v>
      </c>
      <c r="F171" s="11">
        <f t="shared" si="5"/>
        <v>1542000000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512</v>
      </c>
      <c r="E172" s="11">
        <f t="shared" si="7"/>
        <v>0</v>
      </c>
      <c r="F172" s="11">
        <f t="shared" si="5"/>
        <v>-102400000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511</v>
      </c>
      <c r="E173" s="11">
        <f t="shared" si="7"/>
        <v>1</v>
      </c>
      <c r="F173" s="11">
        <f t="shared" si="5"/>
        <v>1530000000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510</v>
      </c>
      <c r="E174" s="11">
        <f t="shared" si="7"/>
        <v>1</v>
      </c>
      <c r="F174" s="11">
        <f t="shared" si="5"/>
        <v>1018000000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509</v>
      </c>
      <c r="E175" s="11">
        <f t="shared" si="7"/>
        <v>1</v>
      </c>
      <c r="F175" s="11">
        <f t="shared" si="5"/>
        <v>660400000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507</v>
      </c>
      <c r="E176" s="11">
        <f t="shared" si="7"/>
        <v>0</v>
      </c>
      <c r="F176" s="11">
        <f t="shared" si="5"/>
        <v>-101400000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507</v>
      </c>
      <c r="E177" s="11">
        <f t="shared" si="7"/>
        <v>1</v>
      </c>
      <c r="F177" s="11">
        <f t="shared" si="5"/>
        <v>860200000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506</v>
      </c>
      <c r="E178" s="11">
        <f t="shared" si="7"/>
        <v>0</v>
      </c>
      <c r="F178" s="11">
        <f t="shared" si="5"/>
        <v>-101200000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505</v>
      </c>
      <c r="E179" s="11">
        <f t="shared" si="7"/>
        <v>1</v>
      </c>
      <c r="F179" s="11">
        <f t="shared" si="5"/>
        <v>288031968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502</v>
      </c>
      <c r="E180" s="11">
        <f t="shared" si="7"/>
        <v>1</v>
      </c>
      <c r="F180" s="11">
        <f t="shared" si="5"/>
        <v>1503000000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495</v>
      </c>
      <c r="E181" s="11">
        <f t="shared" si="7"/>
        <v>1</v>
      </c>
      <c r="F181" s="11">
        <f t="shared" si="5"/>
        <v>988000000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487</v>
      </c>
      <c r="E182" s="11">
        <f t="shared" si="7"/>
        <v>0</v>
      </c>
      <c r="F182" s="11">
        <f t="shared" si="5"/>
        <v>-1071740900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475</v>
      </c>
      <c r="E183" s="11">
        <f t="shared" si="7"/>
        <v>1</v>
      </c>
      <c r="F183" s="11">
        <f t="shared" si="5"/>
        <v>319991238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445</v>
      </c>
      <c r="E184" s="11">
        <f t="shared" si="7"/>
        <v>1</v>
      </c>
      <c r="F184" s="11">
        <f t="shared" si="5"/>
        <v>300588000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430</v>
      </c>
      <c r="E185" s="11">
        <f t="shared" si="7"/>
        <v>0</v>
      </c>
      <c r="F185" s="11">
        <f t="shared" si="5"/>
        <v>-4300000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425</v>
      </c>
      <c r="E186" s="11">
        <f t="shared" si="7"/>
        <v>0</v>
      </c>
      <c r="F186" s="11">
        <f t="shared" si="5"/>
        <v>-34212500000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420</v>
      </c>
      <c r="E187" s="11">
        <f t="shared" si="7"/>
        <v>0</v>
      </c>
      <c r="F187" s="11">
        <f t="shared" si="5"/>
        <v>-462000000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420</v>
      </c>
      <c r="E188" s="11">
        <f t="shared" si="7"/>
        <v>1</v>
      </c>
      <c r="F188" s="11">
        <f t="shared" si="5"/>
        <v>1257000000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419</v>
      </c>
      <c r="E189" s="11">
        <f t="shared" si="7"/>
        <v>1</v>
      </c>
      <c r="F189" s="11">
        <f t="shared" si="5"/>
        <v>836000000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419</v>
      </c>
      <c r="E190" s="11">
        <f t="shared" si="7"/>
        <v>0</v>
      </c>
      <c r="F190" s="11">
        <f t="shared" si="5"/>
        <v>-2095000000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418</v>
      </c>
      <c r="E191" s="11">
        <f t="shared" si="7"/>
        <v>1</v>
      </c>
      <c r="F191" s="11">
        <f t="shared" si="5"/>
        <v>201514416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414</v>
      </c>
      <c r="E192" s="11">
        <f t="shared" si="7"/>
        <v>0</v>
      </c>
      <c r="F192" s="11">
        <f t="shared" si="5"/>
        <v>-47734200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410</v>
      </c>
      <c r="E193" s="11">
        <f t="shared" si="7"/>
        <v>1</v>
      </c>
      <c r="F193" s="11">
        <f t="shared" si="5"/>
        <v>36810000000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403</v>
      </c>
      <c r="E194" s="11">
        <f t="shared" si="7"/>
        <v>1</v>
      </c>
      <c r="F194" s="11">
        <f t="shared" si="5"/>
        <v>20904000000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403</v>
      </c>
      <c r="E195" s="11">
        <f t="shared" si="7"/>
        <v>1</v>
      </c>
      <c r="F195" s="99">
        <f t="shared" si="5"/>
        <v>10050000000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403</v>
      </c>
      <c r="E196" s="99">
        <f t="shared" si="7"/>
        <v>0</v>
      </c>
      <c r="F196" s="99">
        <f t="shared" si="5"/>
        <v>-67704000000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396</v>
      </c>
      <c r="E197" s="99">
        <f t="shared" si="7"/>
        <v>0</v>
      </c>
      <c r="F197" s="99">
        <f t="shared" si="5"/>
        <v>-65538000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392</v>
      </c>
      <c r="E198" s="99">
        <f t="shared" si="7"/>
        <v>0</v>
      </c>
      <c r="F198" s="99">
        <f t="shared" si="5"/>
        <v>-78400000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392</v>
      </c>
      <c r="E199" s="99">
        <f t="shared" si="7"/>
        <v>0</v>
      </c>
      <c r="F199" s="99">
        <f t="shared" si="5"/>
        <v>-18416552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389</v>
      </c>
      <c r="E200" s="99">
        <f t="shared" si="7"/>
        <v>0</v>
      </c>
      <c r="F200" s="99">
        <f t="shared" si="5"/>
        <v>-1808850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387</v>
      </c>
      <c r="E201" s="99">
        <f t="shared" si="7"/>
        <v>1</v>
      </c>
      <c r="F201" s="99">
        <f t="shared" si="5"/>
        <v>61693608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384</v>
      </c>
      <c r="E202" s="99">
        <f t="shared" si="7"/>
        <v>0</v>
      </c>
      <c r="F202" s="99">
        <f t="shared" si="5"/>
        <v>-115392000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384</v>
      </c>
      <c r="E203" s="99">
        <f t="shared" si="7"/>
        <v>1</v>
      </c>
      <c r="F203" s="99">
        <f t="shared" si="5"/>
        <v>2298000000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382</v>
      </c>
      <c r="E204" s="99">
        <f t="shared" si="7"/>
        <v>0</v>
      </c>
      <c r="F204" s="99">
        <f t="shared" si="5"/>
        <v>-261670000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381</v>
      </c>
      <c r="E205" s="99">
        <f t="shared" si="7"/>
        <v>0</v>
      </c>
      <c r="F205" s="99">
        <f t="shared" si="5"/>
        <v>-1143000000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380</v>
      </c>
      <c r="E206" s="99">
        <f t="shared" si="7"/>
        <v>0</v>
      </c>
      <c r="F206" s="99">
        <f t="shared" si="5"/>
        <v>-59280000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379</v>
      </c>
      <c r="E207" s="99">
        <f t="shared" si="7"/>
        <v>0</v>
      </c>
      <c r="F207" s="99">
        <f t="shared" si="5"/>
        <v>-25014000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378</v>
      </c>
      <c r="E208" s="99">
        <f t="shared" si="7"/>
        <v>0</v>
      </c>
      <c r="F208" s="99">
        <f t="shared" si="5"/>
        <v>-945340200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376</v>
      </c>
      <c r="E209" s="99">
        <f t="shared" si="7"/>
        <v>1</v>
      </c>
      <c r="F209" s="99">
        <f t="shared" si="5"/>
        <v>1125000000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376</v>
      </c>
      <c r="E210" s="99">
        <f t="shared" si="7"/>
        <v>0</v>
      </c>
      <c r="F210" s="99">
        <f t="shared" si="5"/>
        <v>-978126400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374</v>
      </c>
      <c r="E211" s="99">
        <f t="shared" si="7"/>
        <v>1</v>
      </c>
      <c r="F211" s="99">
        <f t="shared" si="5"/>
        <v>373000000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372</v>
      </c>
      <c r="E212" s="99">
        <f t="shared" si="7"/>
        <v>1</v>
      </c>
      <c r="F212" s="99">
        <f t="shared" si="5"/>
        <v>500850000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371</v>
      </c>
      <c r="E213" s="99">
        <f t="shared" si="7"/>
        <v>0</v>
      </c>
      <c r="F213" s="99">
        <f t="shared" si="5"/>
        <v>-816200000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371</v>
      </c>
      <c r="E214" s="99">
        <f t="shared" si="7"/>
        <v>0</v>
      </c>
      <c r="F214" s="99">
        <f t="shared" si="5"/>
        <v>-185685500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368</v>
      </c>
      <c r="E215" s="99">
        <f t="shared" si="7"/>
        <v>0</v>
      </c>
      <c r="F215" s="99">
        <f t="shared" si="5"/>
        <v>-16560000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368</v>
      </c>
      <c r="E216" s="99">
        <f t="shared" si="7"/>
        <v>1</v>
      </c>
      <c r="F216" s="99">
        <f t="shared" si="5"/>
        <v>367000000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368</v>
      </c>
      <c r="E217" s="99">
        <f t="shared" si="7"/>
        <v>0</v>
      </c>
      <c r="F217" s="99">
        <f t="shared" si="5"/>
        <v>-36800000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367</v>
      </c>
      <c r="E218" s="99">
        <f t="shared" si="7"/>
        <v>0</v>
      </c>
      <c r="F218" s="99">
        <f t="shared" si="5"/>
        <v>-110100000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364</v>
      </c>
      <c r="E219" s="99">
        <f t="shared" si="7"/>
        <v>0</v>
      </c>
      <c r="F219" s="99">
        <f t="shared" si="5"/>
        <v>-18531240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364</v>
      </c>
      <c r="E220" s="99">
        <f t="shared" si="7"/>
        <v>0</v>
      </c>
      <c r="F220" s="99">
        <f t="shared" si="5"/>
        <v>-200382000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362</v>
      </c>
      <c r="E221" s="99">
        <f t="shared" si="7"/>
        <v>1</v>
      </c>
      <c r="F221" s="99">
        <f t="shared" si="5"/>
        <v>577600000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361</v>
      </c>
      <c r="E222" s="99">
        <f t="shared" si="7"/>
        <v>0</v>
      </c>
      <c r="F222" s="99">
        <f t="shared" si="5"/>
        <v>-541752700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356</v>
      </c>
      <c r="E223" s="99">
        <f t="shared" si="7"/>
        <v>1</v>
      </c>
      <c r="F223" s="99">
        <f t="shared" si="5"/>
        <v>3059745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353</v>
      </c>
      <c r="E224" s="99">
        <f t="shared" si="7"/>
        <v>1</v>
      </c>
      <c r="F224" s="99">
        <f t="shared" si="5"/>
        <v>1056000000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351</v>
      </c>
      <c r="E225" s="99">
        <f t="shared" si="7"/>
        <v>0</v>
      </c>
      <c r="F225" s="99">
        <f t="shared" si="5"/>
        <v>-1053315900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350</v>
      </c>
      <c r="E226" s="99">
        <f t="shared" si="7"/>
        <v>1</v>
      </c>
      <c r="F226" s="99">
        <f t="shared" si="5"/>
        <v>1047000000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350</v>
      </c>
      <c r="E227" s="99">
        <f t="shared" si="7"/>
        <v>0</v>
      </c>
      <c r="F227" s="99">
        <f t="shared" si="5"/>
        <v>-61390000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349</v>
      </c>
      <c r="E228" s="99">
        <f t="shared" si="7"/>
        <v>0</v>
      </c>
      <c r="F228" s="99">
        <f t="shared" si="5"/>
        <v>-418974500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349</v>
      </c>
      <c r="E229" s="99">
        <f t="shared" si="7"/>
        <v>0</v>
      </c>
      <c r="F229" s="99">
        <f t="shared" si="5"/>
        <v>-7173695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348</v>
      </c>
      <c r="E230" s="99">
        <f t="shared" si="7"/>
        <v>0</v>
      </c>
      <c r="F230" s="99">
        <f t="shared" si="5"/>
        <v>-353034168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347</v>
      </c>
      <c r="E231" s="99">
        <f t="shared" si="7"/>
        <v>0</v>
      </c>
      <c r="F231" s="99">
        <f t="shared" si="5"/>
        <v>-8406075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346</v>
      </c>
      <c r="E232" s="99">
        <f t="shared" si="7"/>
        <v>1</v>
      </c>
      <c r="F232" s="99">
        <f t="shared" si="5"/>
        <v>379500000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346</v>
      </c>
      <c r="E233" s="99">
        <f t="shared" si="7"/>
        <v>0</v>
      </c>
      <c r="F233" s="99">
        <f t="shared" si="5"/>
        <v>-51173400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342</v>
      </c>
      <c r="E234" s="99">
        <f t="shared" si="7"/>
        <v>0</v>
      </c>
      <c r="F234" s="99">
        <f t="shared" si="5"/>
        <v>-23244030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337</v>
      </c>
      <c r="E235" s="99">
        <f t="shared" si="7"/>
        <v>0</v>
      </c>
      <c r="F235" s="99">
        <f t="shared" si="5"/>
        <v>-38665358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336</v>
      </c>
      <c r="E236" s="99">
        <f t="shared" si="7"/>
        <v>0</v>
      </c>
      <c r="F236" s="99">
        <f t="shared" si="5"/>
        <v>-120960000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336</v>
      </c>
      <c r="E237" s="99">
        <f t="shared" si="7"/>
        <v>0</v>
      </c>
      <c r="F237" s="99">
        <f t="shared" si="5"/>
        <v>-70896000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336</v>
      </c>
      <c r="E238" s="99">
        <f t="shared" si="7"/>
        <v>0</v>
      </c>
      <c r="F238" s="99">
        <f t="shared" si="5"/>
        <v>-63739200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335</v>
      </c>
      <c r="E239" s="99">
        <f t="shared" si="7"/>
        <v>0</v>
      </c>
      <c r="F239" s="99">
        <f t="shared" si="5"/>
        <v>-134167500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335</v>
      </c>
      <c r="E240" s="99">
        <f t="shared" si="7"/>
        <v>1</v>
      </c>
      <c r="F240" s="99">
        <f t="shared" si="5"/>
        <v>133600000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332</v>
      </c>
      <c r="E241" s="99">
        <f t="shared" si="7"/>
        <v>0</v>
      </c>
      <c r="F241" s="99">
        <f t="shared" si="5"/>
        <v>-106530500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325</v>
      </c>
      <c r="E242" s="99">
        <f t="shared" si="7"/>
        <v>1</v>
      </c>
      <c r="F242" s="99">
        <f t="shared" si="5"/>
        <v>1967976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323</v>
      </c>
      <c r="E243" s="99">
        <f t="shared" si="7"/>
        <v>0</v>
      </c>
      <c r="F243" s="99">
        <f t="shared" si="5"/>
        <v>-119671500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308</v>
      </c>
      <c r="E244" s="99">
        <f t="shared" si="7"/>
        <v>1</v>
      </c>
      <c r="F244" s="99">
        <f t="shared" si="5"/>
        <v>921000000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306</v>
      </c>
      <c r="E245" s="99">
        <f t="shared" si="7"/>
        <v>0</v>
      </c>
      <c r="F245" s="99">
        <f t="shared" si="5"/>
        <v>-24480000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305</v>
      </c>
      <c r="E246" s="99">
        <f t="shared" si="7"/>
        <v>0</v>
      </c>
      <c r="F246" s="99">
        <f t="shared" si="5"/>
        <v>-823500000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305</v>
      </c>
      <c r="E247" s="99">
        <f t="shared" si="7"/>
        <v>0</v>
      </c>
      <c r="F247" s="99">
        <f t="shared" si="5"/>
        <v>-9150000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303</v>
      </c>
      <c r="E248" s="99">
        <f t="shared" si="7"/>
        <v>0</v>
      </c>
      <c r="F248" s="99">
        <f t="shared" si="5"/>
        <v>-36360000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302</v>
      </c>
      <c r="E249" s="99">
        <f>IF(B250&gt;0,1,0)</f>
        <v>1</v>
      </c>
      <c r="F249" s="99">
        <f>B250*(D249-E249)</f>
        <v>240800000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301</v>
      </c>
      <c r="E250" s="99">
        <f>IF(B251&gt;0,1,0)</f>
        <v>0</v>
      </c>
      <c r="F250" s="99">
        <f>B251*(D250-E250)</f>
        <v>-5854450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300</v>
      </c>
      <c r="E251" s="99">
        <f>IF(B252&gt;0,1,0)</f>
        <v>0</v>
      </c>
      <c r="F251" s="99">
        <f>B252*(D251-E251)</f>
        <v>-150000000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300</v>
      </c>
      <c r="E252" s="99">
        <f>IF(B253&gt;0,1,0)</f>
        <v>1</v>
      </c>
      <c r="F252" s="99">
        <f>B253*(D252-E252)</f>
        <v>149500000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300</v>
      </c>
      <c r="E253" s="99">
        <f t="shared" ref="E253:E275" si="9">IF(B254&gt;0,1,0)</f>
        <v>0</v>
      </c>
      <c r="F253" s="99">
        <f>B254*(D253-E253)</f>
        <v>-136383900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300</v>
      </c>
      <c r="E254" s="99">
        <f t="shared" si="9"/>
        <v>0</v>
      </c>
      <c r="F254" s="99">
        <f t="shared" ref="F254:F275" si="10">B255*(D254-E254)</f>
        <v>-5880000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299</v>
      </c>
      <c r="E255" s="99">
        <f t="shared" si="9"/>
        <v>0</v>
      </c>
      <c r="F255" s="99">
        <f t="shared" si="10"/>
        <v>-7540780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299</v>
      </c>
      <c r="E256" s="99">
        <f t="shared" si="9"/>
        <v>0</v>
      </c>
      <c r="F256" s="99">
        <f t="shared" si="10"/>
        <v>-44700500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298</v>
      </c>
      <c r="E257" s="99">
        <f t="shared" si="9"/>
        <v>0</v>
      </c>
      <c r="F257" s="99">
        <f t="shared" si="10"/>
        <v>-46190000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298</v>
      </c>
      <c r="E258" s="99">
        <f t="shared" si="9"/>
        <v>0</v>
      </c>
      <c r="F258" s="99">
        <f t="shared" si="10"/>
        <v>-1490000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216</v>
      </c>
      <c r="E259" s="99">
        <f t="shared" si="9"/>
        <v>1</v>
      </c>
      <c r="F259" s="99">
        <f t="shared" si="10"/>
        <v>21500000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134</v>
      </c>
      <c r="E260" s="99">
        <f t="shared" si="9"/>
        <v>1</v>
      </c>
      <c r="F260" s="99">
        <f t="shared" si="10"/>
        <v>399000000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133</v>
      </c>
      <c r="E261" s="99">
        <f t="shared" si="9"/>
        <v>0</v>
      </c>
      <c r="F261" s="99">
        <f t="shared" si="10"/>
        <v>-8844500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130</v>
      </c>
      <c r="E262" s="99">
        <f t="shared" si="9"/>
        <v>0</v>
      </c>
      <c r="F262" s="99">
        <f t="shared" si="10"/>
        <v>-4924140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128</v>
      </c>
      <c r="E263" s="99">
        <f t="shared" si="9"/>
        <v>0</v>
      </c>
      <c r="F263" s="99">
        <f t="shared" si="10"/>
        <v>-5312000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126</v>
      </c>
      <c r="E264" s="99">
        <f t="shared" si="9"/>
        <v>0</v>
      </c>
      <c r="F264" s="99">
        <f t="shared" si="10"/>
        <v>-23940000</v>
      </c>
      <c r="G264" s="99" t="s">
        <v>1039</v>
      </c>
      <c r="J264" t="s">
        <v>25</v>
      </c>
    </row>
    <row r="265" spans="1:11">
      <c r="A265" s="99" t="s">
        <v>4616</v>
      </c>
      <c r="B265" s="113">
        <v>-190000</v>
      </c>
      <c r="C265" s="99">
        <v>1</v>
      </c>
      <c r="D265" s="99">
        <f t="shared" si="8"/>
        <v>123</v>
      </c>
      <c r="E265" s="99">
        <f t="shared" si="9"/>
        <v>0</v>
      </c>
      <c r="F265" s="99">
        <f t="shared" si="10"/>
        <v>-6765000</v>
      </c>
      <c r="G265" s="99"/>
    </row>
    <row r="266" spans="1:11">
      <c r="A266" s="99" t="s">
        <v>4615</v>
      </c>
      <c r="B266" s="113">
        <v>-55000</v>
      </c>
      <c r="C266" s="99">
        <v>1</v>
      </c>
      <c r="D266" s="99">
        <f t="shared" si="8"/>
        <v>122</v>
      </c>
      <c r="E266" s="99">
        <f t="shared" si="9"/>
        <v>0</v>
      </c>
      <c r="F266" s="99">
        <f t="shared" si="10"/>
        <v>-3586190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121</v>
      </c>
      <c r="E267" s="99">
        <f t="shared" si="9"/>
        <v>0</v>
      </c>
      <c r="F267" s="99">
        <f t="shared" si="10"/>
        <v>-6050000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119</v>
      </c>
      <c r="E268" s="99">
        <f t="shared" si="9"/>
        <v>0</v>
      </c>
      <c r="F268" s="99">
        <f t="shared" si="10"/>
        <v>-9520000</v>
      </c>
      <c r="G268" s="99"/>
    </row>
    <row r="269" spans="1:11">
      <c r="A269" s="99" t="s">
        <v>4618</v>
      </c>
      <c r="B269" s="113">
        <v>-80000</v>
      </c>
      <c r="C269" s="99">
        <v>1</v>
      </c>
      <c r="D269" s="99">
        <f t="shared" si="8"/>
        <v>118</v>
      </c>
      <c r="E269" s="99">
        <f t="shared" si="9"/>
        <v>0</v>
      </c>
      <c r="F269" s="99">
        <f t="shared" si="10"/>
        <v>-11671262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117</v>
      </c>
      <c r="E270" s="99">
        <f t="shared" si="9"/>
        <v>0</v>
      </c>
      <c r="F270" s="99">
        <f t="shared" si="10"/>
        <v>-1097460</v>
      </c>
      <c r="G270" s="99"/>
    </row>
    <row r="271" spans="1:11">
      <c r="A271" s="99" t="s">
        <v>4623</v>
      </c>
      <c r="B271" s="113">
        <v>-9380</v>
      </c>
      <c r="C271" s="99">
        <v>0</v>
      </c>
      <c r="D271" s="99">
        <f t="shared" si="8"/>
        <v>114</v>
      </c>
      <c r="E271" s="99">
        <f t="shared" si="9"/>
        <v>0</v>
      </c>
      <c r="F271" s="99">
        <f t="shared" si="10"/>
        <v>-273600000</v>
      </c>
      <c r="G271" s="99"/>
    </row>
    <row r="272" spans="1:11">
      <c r="A272" s="99" t="s">
        <v>4623</v>
      </c>
      <c r="B272" s="113">
        <v>-2400000</v>
      </c>
      <c r="C272" s="99">
        <v>3</v>
      </c>
      <c r="D272" s="99">
        <f t="shared" si="8"/>
        <v>114</v>
      </c>
      <c r="E272" s="99">
        <f t="shared" si="9"/>
        <v>1</v>
      </c>
      <c r="F272" s="99">
        <f t="shared" si="10"/>
        <v>1695000</v>
      </c>
      <c r="G272" s="99"/>
    </row>
    <row r="273" spans="1:11">
      <c r="A273" s="99" t="s">
        <v>4636</v>
      </c>
      <c r="B273" s="113">
        <v>15000</v>
      </c>
      <c r="C273" s="99">
        <v>93</v>
      </c>
      <c r="D273" s="99">
        <f t="shared" si="8"/>
        <v>111</v>
      </c>
      <c r="E273" s="99">
        <f t="shared" si="9"/>
        <v>1</v>
      </c>
      <c r="F273" s="99">
        <f t="shared" si="10"/>
        <v>385000000</v>
      </c>
      <c r="G273" s="99"/>
    </row>
    <row r="274" spans="1:11">
      <c r="A274" s="99" t="s">
        <v>4991</v>
      </c>
      <c r="B274" s="113">
        <v>3500000</v>
      </c>
      <c r="C274" s="99">
        <v>0</v>
      </c>
      <c r="D274" s="99">
        <f t="shared" si="8"/>
        <v>18</v>
      </c>
      <c r="E274" s="99">
        <f t="shared" si="9"/>
        <v>0</v>
      </c>
      <c r="F274" s="99">
        <f t="shared" si="10"/>
        <v>-4032216</v>
      </c>
      <c r="G274" s="99"/>
    </row>
    <row r="275" spans="1:11">
      <c r="A275" s="99" t="s">
        <v>4991</v>
      </c>
      <c r="B275" s="113">
        <v>-224012</v>
      </c>
      <c r="C275" s="99">
        <v>2</v>
      </c>
      <c r="D275" s="99">
        <f t="shared" si="8"/>
        <v>18</v>
      </c>
      <c r="E275" s="99">
        <f t="shared" si="9"/>
        <v>0</v>
      </c>
      <c r="F275" s="99">
        <f t="shared" si="10"/>
        <v>-1884078</v>
      </c>
      <c r="G275" s="99"/>
    </row>
    <row r="276" spans="1:11">
      <c r="A276" s="99" t="s">
        <v>5014</v>
      </c>
      <c r="B276" s="113">
        <v>-104671</v>
      </c>
      <c r="C276" s="99">
        <v>1</v>
      </c>
      <c r="D276" s="99">
        <f t="shared" ref="D276:D280" si="11">D277+C276</f>
        <v>16</v>
      </c>
      <c r="E276" s="99">
        <f t="shared" ref="E276:E280" si="12">IF(B277&gt;0,1,0)</f>
        <v>0</v>
      </c>
      <c r="F276" s="99">
        <f t="shared" ref="F276:F280" si="13">B277*(D276-E276)</f>
        <v>-4352000</v>
      </c>
      <c r="G276" s="99"/>
    </row>
    <row r="277" spans="1:11">
      <c r="A277" s="99" t="s">
        <v>5016</v>
      </c>
      <c r="B277" s="113">
        <v>-272000</v>
      </c>
      <c r="C277" s="99">
        <v>1</v>
      </c>
      <c r="D277" s="99">
        <f t="shared" si="11"/>
        <v>15</v>
      </c>
      <c r="E277" s="99">
        <f t="shared" si="12"/>
        <v>0</v>
      </c>
      <c r="F277" s="99">
        <f t="shared" si="13"/>
        <v>-38476170</v>
      </c>
      <c r="G277" s="99"/>
    </row>
    <row r="278" spans="1:11">
      <c r="A278" s="99" t="s">
        <v>5018</v>
      </c>
      <c r="B278" s="113">
        <v>-2565078</v>
      </c>
      <c r="C278" s="99">
        <v>2</v>
      </c>
      <c r="D278" s="99">
        <f t="shared" si="11"/>
        <v>14</v>
      </c>
      <c r="E278" s="99">
        <f t="shared" si="12"/>
        <v>0</v>
      </c>
      <c r="F278" s="99">
        <f t="shared" si="13"/>
        <v>-2989000</v>
      </c>
      <c r="G278" s="99"/>
    </row>
    <row r="279" spans="1:11">
      <c r="A279" s="99" t="s">
        <v>4963</v>
      </c>
      <c r="B279" s="113">
        <v>-213500</v>
      </c>
      <c r="C279" s="99">
        <v>1</v>
      </c>
      <c r="D279" s="99">
        <f t="shared" si="11"/>
        <v>12</v>
      </c>
      <c r="E279" s="99">
        <f t="shared" si="12"/>
        <v>0</v>
      </c>
      <c r="F279" s="99">
        <f t="shared" si="13"/>
        <v>-45720</v>
      </c>
      <c r="G279" s="99"/>
    </row>
    <row r="280" spans="1:11">
      <c r="A280" s="99" t="s">
        <v>5042</v>
      </c>
      <c r="B280" s="113">
        <v>-3810</v>
      </c>
      <c r="C280" s="99">
        <v>1</v>
      </c>
      <c r="D280" s="99">
        <f t="shared" si="11"/>
        <v>11</v>
      </c>
      <c r="E280" s="99">
        <f t="shared" si="12"/>
        <v>0</v>
      </c>
      <c r="F280" s="99">
        <f t="shared" si="13"/>
        <v>-1326952</v>
      </c>
      <c r="G280" s="99"/>
      <c r="J280" t="s">
        <v>25</v>
      </c>
    </row>
    <row r="281" spans="1:11">
      <c r="A281" s="99" t="s">
        <v>5043</v>
      </c>
      <c r="B281" s="113">
        <v>-120632</v>
      </c>
      <c r="C281" s="99">
        <v>1</v>
      </c>
      <c r="D281" s="99">
        <f t="shared" ref="D281:D288" si="14">D282+C281</f>
        <v>10</v>
      </c>
      <c r="E281" s="99">
        <f t="shared" ref="E281:E288" si="15">IF(B282&gt;0,1,0)</f>
        <v>1</v>
      </c>
      <c r="F281" s="99">
        <f t="shared" ref="F281:F288" si="16">B282*(D281-E281)</f>
        <v>720000</v>
      </c>
      <c r="G281" s="99"/>
      <c r="J281" t="s">
        <v>25</v>
      </c>
    </row>
    <row r="282" spans="1:11">
      <c r="A282" s="99" t="s">
        <v>5027</v>
      </c>
      <c r="B282" s="113">
        <v>80000</v>
      </c>
      <c r="C282" s="99">
        <v>0</v>
      </c>
      <c r="D282" s="99">
        <f t="shared" si="14"/>
        <v>9</v>
      </c>
      <c r="E282" s="99">
        <f t="shared" si="15"/>
        <v>0</v>
      </c>
      <c r="F282" s="99">
        <f t="shared" si="16"/>
        <v>-22500</v>
      </c>
      <c r="G282" s="99"/>
    </row>
    <row r="283" spans="1:11">
      <c r="A283" s="99" t="s">
        <v>5027</v>
      </c>
      <c r="B283" s="113">
        <v>-2500</v>
      </c>
      <c r="C283" s="99">
        <v>1</v>
      </c>
      <c r="D283" s="99">
        <f t="shared" si="14"/>
        <v>9</v>
      </c>
      <c r="E283" s="99">
        <f t="shared" si="15"/>
        <v>0</v>
      </c>
      <c r="F283" s="99">
        <f t="shared" si="16"/>
        <v>-270000</v>
      </c>
      <c r="G283" s="99"/>
      <c r="J283" s="114">
        <f>B315-498804</f>
        <v>-416500</v>
      </c>
    </row>
    <row r="284" spans="1:11">
      <c r="A284" s="99" t="s">
        <v>5032</v>
      </c>
      <c r="B284" s="113">
        <v>-30000</v>
      </c>
      <c r="C284" s="99">
        <v>1</v>
      </c>
      <c r="D284" s="99">
        <f t="shared" si="14"/>
        <v>8</v>
      </c>
      <c r="E284" s="99">
        <f t="shared" si="15"/>
        <v>0</v>
      </c>
      <c r="F284" s="99">
        <f t="shared" si="16"/>
        <v>-158400</v>
      </c>
      <c r="G284" s="99"/>
    </row>
    <row r="285" spans="1:11">
      <c r="A285" s="99" t="s">
        <v>5044</v>
      </c>
      <c r="B285" s="113">
        <v>-19800</v>
      </c>
      <c r="C285" s="99">
        <v>1</v>
      </c>
      <c r="D285" s="99">
        <f t="shared" si="14"/>
        <v>7</v>
      </c>
      <c r="E285" s="99">
        <f t="shared" si="15"/>
        <v>1</v>
      </c>
      <c r="F285" s="99">
        <f t="shared" si="16"/>
        <v>5640000</v>
      </c>
      <c r="G285" s="99"/>
      <c r="K285" t="s">
        <v>25</v>
      </c>
    </row>
    <row r="286" spans="1:11">
      <c r="A286" s="99" t="s">
        <v>5031</v>
      </c>
      <c r="B286" s="113">
        <v>940000</v>
      </c>
      <c r="C286" s="99">
        <v>0</v>
      </c>
      <c r="D286" s="99">
        <f t="shared" si="14"/>
        <v>6</v>
      </c>
      <c r="E286" s="99">
        <f t="shared" si="15"/>
        <v>0</v>
      </c>
      <c r="F286" s="99">
        <f t="shared" si="16"/>
        <v>-1206000</v>
      </c>
      <c r="G286" s="99"/>
    </row>
    <row r="287" spans="1:11">
      <c r="A287" s="99" t="s">
        <v>5031</v>
      </c>
      <c r="B287" s="113">
        <v>-201000</v>
      </c>
      <c r="C287" s="99">
        <v>1</v>
      </c>
      <c r="D287" s="99">
        <f t="shared" si="14"/>
        <v>6</v>
      </c>
      <c r="E287" s="99">
        <f t="shared" si="15"/>
        <v>0</v>
      </c>
      <c r="F287" s="99">
        <f t="shared" si="16"/>
        <v>-1925580</v>
      </c>
      <c r="G287" s="99"/>
    </row>
    <row r="288" spans="1:11">
      <c r="A288" s="99" t="s">
        <v>5039</v>
      </c>
      <c r="B288" s="113">
        <v>-320930</v>
      </c>
      <c r="C288" s="99">
        <v>3</v>
      </c>
      <c r="D288" s="99">
        <f t="shared" si="14"/>
        <v>5</v>
      </c>
      <c r="E288" s="99">
        <f t="shared" si="15"/>
        <v>0</v>
      </c>
      <c r="F288" s="99">
        <f t="shared" si="16"/>
        <v>-2000000</v>
      </c>
      <c r="G288" s="99"/>
    </row>
    <row r="289" spans="1:10">
      <c r="A289" s="99" t="s">
        <v>5040</v>
      </c>
      <c r="B289" s="113">
        <v>-400000</v>
      </c>
      <c r="C289" s="99">
        <v>1</v>
      </c>
      <c r="D289" s="99">
        <f t="shared" ref="D289:D313" si="17">D290+C289</f>
        <v>2</v>
      </c>
      <c r="E289" s="99">
        <f t="shared" ref="E289:E313" si="18">IF(B290&gt;0,1,0)</f>
        <v>0</v>
      </c>
      <c r="F289" s="99">
        <f t="shared" ref="F289:F313" si="19">B290*(D289-E289)</f>
        <v>-33000</v>
      </c>
      <c r="G289" s="99"/>
    </row>
    <row r="290" spans="1:10">
      <c r="A290" s="99" t="s">
        <v>5049</v>
      </c>
      <c r="B290" s="113">
        <v>-16500</v>
      </c>
      <c r="C290" s="99">
        <v>1</v>
      </c>
      <c r="D290" s="99">
        <f t="shared" si="17"/>
        <v>1</v>
      </c>
      <c r="E290" s="99">
        <f t="shared" si="18"/>
        <v>0</v>
      </c>
      <c r="F290" s="99">
        <f t="shared" si="19"/>
        <v>0</v>
      </c>
      <c r="G290" s="99"/>
    </row>
    <row r="291" spans="1:10">
      <c r="A291" s="99"/>
      <c r="B291" s="113"/>
      <c r="C291" s="99"/>
      <c r="D291" s="99">
        <f t="shared" si="17"/>
        <v>0</v>
      </c>
      <c r="E291" s="99">
        <f t="shared" si="18"/>
        <v>0</v>
      </c>
      <c r="F291" s="99">
        <f t="shared" si="19"/>
        <v>0</v>
      </c>
      <c r="G291" s="99"/>
      <c r="I291" t="s">
        <v>25</v>
      </c>
    </row>
    <row r="292" spans="1:10">
      <c r="A292" s="99"/>
      <c r="B292" s="113"/>
      <c r="C292" s="99"/>
      <c r="D292" s="99">
        <f t="shared" si="17"/>
        <v>0</v>
      </c>
      <c r="E292" s="99">
        <f t="shared" si="18"/>
        <v>0</v>
      </c>
      <c r="F292" s="99">
        <f t="shared" si="19"/>
        <v>0</v>
      </c>
      <c r="G292" s="99"/>
      <c r="J292" t="s">
        <v>25</v>
      </c>
    </row>
    <row r="293" spans="1:10">
      <c r="A293" s="99"/>
      <c r="B293" s="113"/>
      <c r="C293" s="99"/>
      <c r="D293" s="99">
        <f t="shared" si="17"/>
        <v>0</v>
      </c>
      <c r="E293" s="99">
        <f t="shared" si="18"/>
        <v>0</v>
      </c>
      <c r="F293" s="99">
        <f t="shared" si="19"/>
        <v>0</v>
      </c>
      <c r="G293" s="99"/>
    </row>
    <row r="294" spans="1:10">
      <c r="A294" s="99"/>
      <c r="B294" s="113"/>
      <c r="C294" s="99"/>
      <c r="D294" s="99">
        <f t="shared" si="17"/>
        <v>0</v>
      </c>
      <c r="E294" s="99">
        <f t="shared" si="18"/>
        <v>0</v>
      </c>
      <c r="F294" s="99">
        <f t="shared" si="19"/>
        <v>0</v>
      </c>
      <c r="G294" s="99"/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82304</v>
      </c>
      <c r="C315" s="11"/>
      <c r="D315" s="11"/>
      <c r="E315" s="11"/>
      <c r="F315" s="29">
        <f>SUM(F2:F313)</f>
        <v>19236685157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17894590.843720932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R13" sqref="R13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4772</v>
      </c>
      <c r="L15">
        <v>451474</v>
      </c>
      <c r="M15" s="248" t="s">
        <v>4966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4906</v>
      </c>
      <c r="B193" s="38">
        <v>-25000</v>
      </c>
      <c r="C193" s="11" t="s">
        <v>4913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7"/>
  <sheetViews>
    <sheetView topLeftCell="I79" zoomScaleNormal="100" workbookViewId="0">
      <selection activeCell="P51" sqref="P5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4848</v>
      </c>
      <c r="AT10" s="73" t="s">
        <v>4851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4872</v>
      </c>
      <c r="AT11" s="73" t="s">
        <v>4873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4933</v>
      </c>
      <c r="AT12" s="73" t="s">
        <v>4934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82304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7" t="s">
        <v>4935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518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S92</f>
        <v>230</v>
      </c>
      <c r="T20" s="168" t="s">
        <v>4309</v>
      </c>
      <c r="U20" s="168">
        <v>192.1</v>
      </c>
      <c r="V20" s="168">
        <f t="shared" ref="V20:V59" si="6">U20*(1+$N$81+$Q$15*S20/36500)</f>
        <v>228.14532821917811</v>
      </c>
      <c r="W20" s="32">
        <f t="shared" ref="W20:W33" si="7">V20*(1+$W$19/100)</f>
        <v>232.70823478356166</v>
      </c>
      <c r="X20" s="32">
        <f t="shared" ref="X20:X33" si="8">V20*(1+$X$19/100)</f>
        <v>237.27114134794525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-N33</f>
        <v>527683216.52363372</v>
      </c>
      <c r="M21" s="168" t="s">
        <v>4301</v>
      </c>
      <c r="N21" s="113">
        <f t="shared" ref="N21:N24" si="9">O21*P21</f>
        <v>44167944.399999999</v>
      </c>
      <c r="O21" s="99">
        <v>229802</v>
      </c>
      <c r="P21" s="186">
        <f>P49</f>
        <v>192.2</v>
      </c>
      <c r="Q21" s="169">
        <v>595156</v>
      </c>
      <c r="R21" s="168" t="s">
        <v>4393</v>
      </c>
      <c r="S21" s="193">
        <f>S20-52</f>
        <v>178</v>
      </c>
      <c r="T21" s="168" t="s">
        <v>4396</v>
      </c>
      <c r="U21" s="168">
        <v>5808.5</v>
      </c>
      <c r="V21" s="168">
        <f t="shared" si="6"/>
        <v>6666.6939397260276</v>
      </c>
      <c r="W21" s="32">
        <f t="shared" si="7"/>
        <v>6800.027818520548</v>
      </c>
      <c r="X21" s="32">
        <f t="shared" si="8"/>
        <v>6933.3616973150693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193870228.5</v>
      </c>
      <c r="O22" s="99">
        <v>49463</v>
      </c>
      <c r="P22" s="186">
        <f>P43</f>
        <v>3919.5</v>
      </c>
      <c r="Q22" s="169">
        <v>1484689</v>
      </c>
      <c r="R22" s="168" t="s">
        <v>4430</v>
      </c>
      <c r="S22" s="168">
        <f>S21-7</f>
        <v>171</v>
      </c>
      <c r="T22" s="19" t="s">
        <v>4433</v>
      </c>
      <c r="U22" s="168">
        <v>5474</v>
      </c>
      <c r="V22" s="168">
        <f t="shared" si="6"/>
        <v>6253.377621917808</v>
      </c>
      <c r="W22" s="32">
        <f t="shared" si="7"/>
        <v>6378.445174356164</v>
      </c>
      <c r="X22" s="32">
        <f t="shared" si="8"/>
        <v>6503.5127267945209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4410</v>
      </c>
      <c r="N23" s="113">
        <f t="shared" si="9"/>
        <v>111699056.40000001</v>
      </c>
      <c r="O23" s="99">
        <v>159297</v>
      </c>
      <c r="P23" s="186">
        <f>P47</f>
        <v>701.2</v>
      </c>
      <c r="Q23" s="169">
        <v>2197673</v>
      </c>
      <c r="R23" s="168" t="s">
        <v>4430</v>
      </c>
      <c r="S23" s="168">
        <f>S22</f>
        <v>171</v>
      </c>
      <c r="T23" s="19" t="s">
        <v>4434</v>
      </c>
      <c r="U23" s="168">
        <v>5349</v>
      </c>
      <c r="V23" s="168">
        <f t="shared" si="6"/>
        <v>6110.5803616438361</v>
      </c>
      <c r="W23" s="32">
        <f>V23*(1+$W$19/100)</f>
        <v>6232.7919688767133</v>
      </c>
      <c r="X23" s="32">
        <f t="shared" si="8"/>
        <v>6355.0035761095896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L61</f>
        <v>481179169.52363372</v>
      </c>
      <c r="G24" s="95">
        <f t="shared" si="0"/>
        <v>-200872824.14169508</v>
      </c>
      <c r="H24" s="11"/>
      <c r="I24" s="96"/>
      <c r="J24" s="96"/>
      <c r="K24" s="168" t="s">
        <v>456</v>
      </c>
      <c r="L24" s="117">
        <v>500000</v>
      </c>
      <c r="M24" s="168" t="s">
        <v>4395</v>
      </c>
      <c r="N24" s="113">
        <f t="shared" si="9"/>
        <v>44877300</v>
      </c>
      <c r="O24" s="99">
        <v>9250</v>
      </c>
      <c r="P24" s="99">
        <f>P46</f>
        <v>4851.6000000000004</v>
      </c>
      <c r="Q24" s="169">
        <v>1353959</v>
      </c>
      <c r="R24" s="168" t="s">
        <v>4430</v>
      </c>
      <c r="S24" s="199">
        <f>S23</f>
        <v>171</v>
      </c>
      <c r="T24" s="19" t="s">
        <v>4476</v>
      </c>
      <c r="U24" s="168">
        <v>192.2</v>
      </c>
      <c r="V24" s="168">
        <f t="shared" si="6"/>
        <v>219.56506739726026</v>
      </c>
      <c r="W24" s="32">
        <f t="shared" si="7"/>
        <v>223.95636874520548</v>
      </c>
      <c r="X24" s="32">
        <f t="shared" si="8"/>
        <v>228.3476700931507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4438</v>
      </c>
      <c r="S25" s="168">
        <f>S24-3</f>
        <v>168</v>
      </c>
      <c r="T25" s="19" t="s">
        <v>4509</v>
      </c>
      <c r="U25" s="168">
        <v>184.6</v>
      </c>
      <c r="V25" s="168">
        <f t="shared" si="6"/>
        <v>210.4581610958904</v>
      </c>
      <c r="W25" s="32">
        <f t="shared" si="7"/>
        <v>214.66732431780821</v>
      </c>
      <c r="X25" s="32">
        <f t="shared" si="8"/>
        <v>218.87648753972601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90" t="s">
        <v>4460</v>
      </c>
      <c r="N26" s="113">
        <v>3686</v>
      </c>
      <c r="O26" s="69" t="s">
        <v>25</v>
      </c>
      <c r="P26" s="99" t="s">
        <v>25</v>
      </c>
      <c r="Q26" s="169">
        <v>133576</v>
      </c>
      <c r="R26" s="168" t="s">
        <v>4516</v>
      </c>
      <c r="S26" s="198">
        <f>S25-22</f>
        <v>146</v>
      </c>
      <c r="T26" s="168" t="s">
        <v>4517</v>
      </c>
      <c r="U26" s="168">
        <v>166.2</v>
      </c>
      <c r="V26" s="168">
        <f t="shared" si="6"/>
        <v>186.67584000000002</v>
      </c>
      <c r="W26" s="32">
        <f t="shared" si="7"/>
        <v>190.40935680000001</v>
      </c>
      <c r="X26" s="32">
        <f t="shared" si="8"/>
        <v>194.14287360000003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4395</v>
      </c>
      <c r="N27" s="113">
        <f t="shared" ref="N27:N30" si="13">O27*P27</f>
        <v>5448346.8000000007</v>
      </c>
      <c r="O27" s="69">
        <v>1123</v>
      </c>
      <c r="P27" s="99">
        <f>P46</f>
        <v>4851.6000000000004</v>
      </c>
      <c r="Q27" s="169">
        <v>220803</v>
      </c>
      <c r="R27" s="168" t="s">
        <v>4231</v>
      </c>
      <c r="S27" s="198">
        <f>S26-1</f>
        <v>145</v>
      </c>
      <c r="T27" s="168" t="s">
        <v>4523</v>
      </c>
      <c r="U27" s="168">
        <v>166</v>
      </c>
      <c r="V27" s="168">
        <f t="shared" si="6"/>
        <v>186.3238575342466</v>
      </c>
      <c r="W27" s="32">
        <f t="shared" si="7"/>
        <v>190.05033468493153</v>
      </c>
      <c r="X27" s="32">
        <f t="shared" si="8"/>
        <v>193.77681183561646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5"/>
      <c r="L28" s="117"/>
      <c r="M28" s="190" t="s">
        <v>4391</v>
      </c>
      <c r="N28" s="113">
        <f t="shared" si="13"/>
        <v>5307003</v>
      </c>
      <c r="O28" s="69">
        <v>1354</v>
      </c>
      <c r="P28" s="99">
        <f>P43</f>
        <v>3919.5</v>
      </c>
      <c r="Q28" s="169">
        <v>1023940</v>
      </c>
      <c r="R28" s="168" t="s">
        <v>4524</v>
      </c>
      <c r="S28" s="198">
        <f>S27-2</f>
        <v>143</v>
      </c>
      <c r="T28" s="168" t="s">
        <v>4530</v>
      </c>
      <c r="U28" s="168">
        <v>160.19999999999999</v>
      </c>
      <c r="V28" s="168">
        <f t="shared" si="6"/>
        <v>179.56796054794521</v>
      </c>
      <c r="W28" s="32">
        <f t="shared" si="7"/>
        <v>183.1593197589041</v>
      </c>
      <c r="X28" s="32">
        <f t="shared" si="8"/>
        <v>186.75067896986303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5"/>
      <c r="L29" s="117"/>
      <c r="M29" s="190" t="s">
        <v>4410</v>
      </c>
      <c r="N29" s="113">
        <f t="shared" si="13"/>
        <v>675255.60000000009</v>
      </c>
      <c r="O29" s="69">
        <v>963</v>
      </c>
      <c r="P29" s="99">
        <f>P47</f>
        <v>701.2</v>
      </c>
      <c r="Q29" s="169">
        <v>168846</v>
      </c>
      <c r="R29" s="168" t="s">
        <v>3691</v>
      </c>
      <c r="S29" s="198">
        <f>S28-28</f>
        <v>115</v>
      </c>
      <c r="T29" s="168" t="s">
        <v>4621</v>
      </c>
      <c r="U29" s="168">
        <v>172.2</v>
      </c>
      <c r="V29" s="168">
        <f t="shared" si="6"/>
        <v>189.31998246575341</v>
      </c>
      <c r="W29" s="32">
        <f t="shared" si="7"/>
        <v>193.10638211506847</v>
      </c>
      <c r="X29" s="32">
        <f t="shared" si="8"/>
        <v>196.89278176438356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4439</v>
      </c>
      <c r="N30" s="113">
        <f t="shared" si="13"/>
        <v>25206453.399999999</v>
      </c>
      <c r="O30" s="69">
        <v>131147</v>
      </c>
      <c r="P30" s="99">
        <f>P49</f>
        <v>192.2</v>
      </c>
      <c r="Q30" s="169">
        <v>250962</v>
      </c>
      <c r="R30" s="168" t="s">
        <v>4663</v>
      </c>
      <c r="S30" s="198">
        <f>S29-10</f>
        <v>105</v>
      </c>
      <c r="T30" s="168" t="s">
        <v>4664</v>
      </c>
      <c r="U30" s="168">
        <v>5315.5</v>
      </c>
      <c r="V30" s="168">
        <f t="shared" si="6"/>
        <v>5803.1862027397265</v>
      </c>
      <c r="W30" s="32">
        <f t="shared" si="7"/>
        <v>5919.2499267945213</v>
      </c>
      <c r="X30" s="32">
        <f t="shared" si="8"/>
        <v>6035.3136508493153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 t="s">
        <v>25</v>
      </c>
      <c r="L31" s="117"/>
      <c r="M31" s="168"/>
      <c r="N31" s="113"/>
      <c r="P31" t="s">
        <v>25</v>
      </c>
      <c r="Q31" s="169">
        <v>350718</v>
      </c>
      <c r="R31" s="215" t="s">
        <v>4704</v>
      </c>
      <c r="S31" s="198">
        <f>S30-7</f>
        <v>98</v>
      </c>
      <c r="T31" s="215" t="s">
        <v>4705</v>
      </c>
      <c r="U31" s="215">
        <v>502.3</v>
      </c>
      <c r="V31" s="215">
        <f t="shared" si="6"/>
        <v>545.68771068493163</v>
      </c>
      <c r="W31" s="32">
        <f t="shared" si="7"/>
        <v>556.6014648986303</v>
      </c>
      <c r="X31" s="32">
        <f t="shared" si="8"/>
        <v>567.51521911232896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 t="s">
        <v>756</v>
      </c>
      <c r="N32" s="113">
        <v>3000000</v>
      </c>
      <c r="O32" t="s">
        <v>25</v>
      </c>
      <c r="P32" t="s">
        <v>25</v>
      </c>
      <c r="Q32" s="169">
        <v>17953742</v>
      </c>
      <c r="R32" s="215" t="s">
        <v>3684</v>
      </c>
      <c r="S32" s="198">
        <f>S31-15</f>
        <v>83</v>
      </c>
      <c r="T32" s="215" t="s">
        <v>4748</v>
      </c>
      <c r="U32" s="215">
        <v>486.4</v>
      </c>
      <c r="V32" s="215">
        <f t="shared" si="6"/>
        <v>522.81736767123289</v>
      </c>
      <c r="W32" s="32">
        <f t="shared" si="7"/>
        <v>533.27371502465758</v>
      </c>
      <c r="X32" s="32">
        <f t="shared" si="8"/>
        <v>543.73006237808227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918</v>
      </c>
      <c r="L33" s="117">
        <v>4800000</v>
      </c>
      <c r="M33" s="168" t="s">
        <v>4149</v>
      </c>
      <c r="N33" s="113">
        <f>-S170</f>
        <v>-527683216.52363372</v>
      </c>
      <c r="O33" s="96"/>
      <c r="P33" s="96" t="s">
        <v>25</v>
      </c>
      <c r="Q33" s="169">
        <v>9566181</v>
      </c>
      <c r="R33" s="215" t="s">
        <v>4749</v>
      </c>
      <c r="S33" s="198">
        <f>S32-1</f>
        <v>82</v>
      </c>
      <c r="T33" s="215" t="s">
        <v>4750</v>
      </c>
      <c r="U33" s="215">
        <v>476.1</v>
      </c>
      <c r="V33" s="215">
        <f t="shared" si="6"/>
        <v>511.38096657534248</v>
      </c>
      <c r="W33" s="32">
        <f t="shared" si="7"/>
        <v>521.60858590684938</v>
      </c>
      <c r="X33" s="32">
        <f t="shared" si="8"/>
        <v>531.83620523835623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/>
      <c r="L34" s="117"/>
      <c r="M34" s="168" t="s">
        <v>753</v>
      </c>
      <c r="N34" s="113">
        <v>500000</v>
      </c>
      <c r="O34" s="96" t="s">
        <v>25</v>
      </c>
      <c r="P34" s="122" t="s">
        <v>25</v>
      </c>
      <c r="Q34" s="169">
        <v>10881161</v>
      </c>
      <c r="R34" s="215" t="s">
        <v>4749</v>
      </c>
      <c r="S34" s="198">
        <f>S33</f>
        <v>82</v>
      </c>
      <c r="T34" s="215" t="s">
        <v>4751</v>
      </c>
      <c r="U34" s="215">
        <v>3095</v>
      </c>
      <c r="V34" s="215">
        <f t="shared" si="6"/>
        <v>3324.3522191780821</v>
      </c>
      <c r="W34" s="32">
        <f t="shared" ref="W34:W59" si="14">V34*(1+$W$19/100)</f>
        <v>3390.8392635616437</v>
      </c>
      <c r="X34" s="32">
        <f t="shared" ref="X34:X59" si="15">V34*(1+$X$19/100)</f>
        <v>3457.3263079452054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1086</v>
      </c>
      <c r="L35" s="117">
        <f>'خرید و فروش سکه فیزیکی'!M48*10*P50</f>
        <v>0</v>
      </c>
      <c r="M35" s="168" t="s">
        <v>760</v>
      </c>
      <c r="N35" s="113">
        <v>1200000</v>
      </c>
      <c r="P35" t="s">
        <v>25</v>
      </c>
      <c r="Q35" s="169">
        <v>1563192</v>
      </c>
      <c r="R35" s="215" t="s">
        <v>4749</v>
      </c>
      <c r="S35" s="198">
        <f>S34</f>
        <v>82</v>
      </c>
      <c r="T35" s="215" t="s">
        <v>4752</v>
      </c>
      <c r="U35" s="215">
        <v>168.8</v>
      </c>
      <c r="V35" s="215">
        <f t="shared" si="6"/>
        <v>181.30877369863015</v>
      </c>
      <c r="W35" s="32">
        <f t="shared" si="14"/>
        <v>184.93494917260276</v>
      </c>
      <c r="X35" s="32">
        <f t="shared" si="15"/>
        <v>188.56112464657537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4807</v>
      </c>
      <c r="L36" s="117">
        <v>-47500000</v>
      </c>
      <c r="M36" s="73"/>
      <c r="N36" s="113"/>
      <c r="O36" s="96" t="s">
        <v>25</v>
      </c>
      <c r="P36" s="96" t="s">
        <v>25</v>
      </c>
      <c r="Q36" s="169">
        <v>10206388</v>
      </c>
      <c r="R36" s="215" t="s">
        <v>4756</v>
      </c>
      <c r="S36" s="198">
        <f>S35-1</f>
        <v>81</v>
      </c>
      <c r="T36" s="215" t="s">
        <v>4759</v>
      </c>
      <c r="U36" s="215">
        <v>3099.2</v>
      </c>
      <c r="V36" s="215">
        <f t="shared" si="6"/>
        <v>3326.4859879452056</v>
      </c>
      <c r="W36" s="32">
        <f t="shared" si="14"/>
        <v>3393.0157077041099</v>
      </c>
      <c r="X36" s="32">
        <f t="shared" si="15"/>
        <v>3459.5454274630138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1086</v>
      </c>
      <c r="N37" s="113">
        <f>('خرید و فروش سکه فیزیکی'!M47+3)*10*P50</f>
        <v>14700000</v>
      </c>
      <c r="O37" s="96"/>
      <c r="P37" s="96" t="s">
        <v>25</v>
      </c>
      <c r="Q37" s="169">
        <v>138358</v>
      </c>
      <c r="R37" s="215" t="s">
        <v>4764</v>
      </c>
      <c r="S37" s="198">
        <f>S36-1</f>
        <v>80</v>
      </c>
      <c r="T37" s="215" t="s">
        <v>4765</v>
      </c>
      <c r="U37" s="215">
        <v>3130</v>
      </c>
      <c r="V37" s="215">
        <f t="shared" si="6"/>
        <v>3357.1436712328773</v>
      </c>
      <c r="W37" s="32">
        <f t="shared" si="14"/>
        <v>3424.2865446575347</v>
      </c>
      <c r="X37" s="32">
        <f t="shared" si="15"/>
        <v>3491.4294180821926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 ht="16.5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4806</v>
      </c>
      <c r="N38" s="113">
        <v>-18000000</v>
      </c>
      <c r="O38" s="246" t="s">
        <v>25</v>
      </c>
      <c r="P38" s="114"/>
      <c r="Q38" s="169">
        <v>3377001</v>
      </c>
      <c r="R38" s="215" t="s">
        <v>4773</v>
      </c>
      <c r="S38" s="198">
        <f>S37-4</f>
        <v>76</v>
      </c>
      <c r="T38" s="215" t="s">
        <v>4778</v>
      </c>
      <c r="U38" s="215">
        <v>3324.8</v>
      </c>
      <c r="V38" s="215">
        <f t="shared" si="6"/>
        <v>3555.8781545205484</v>
      </c>
      <c r="W38" s="32">
        <f t="shared" si="14"/>
        <v>3626.9957176109592</v>
      </c>
      <c r="X38" s="32">
        <f t="shared" si="15"/>
        <v>3698.1132807013705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4808</v>
      </c>
      <c r="N39" s="113">
        <v>-47000000</v>
      </c>
      <c r="O39" s="96"/>
      <c r="P39" s="96" t="s">
        <v>25</v>
      </c>
      <c r="Q39" s="169">
        <v>15499033</v>
      </c>
      <c r="R39" s="215" t="s">
        <v>4773</v>
      </c>
      <c r="S39" s="198">
        <f>S38</f>
        <v>76</v>
      </c>
      <c r="T39" s="215" t="s">
        <v>4777</v>
      </c>
      <c r="U39" s="215">
        <v>525.1</v>
      </c>
      <c r="V39" s="215">
        <f t="shared" si="6"/>
        <v>561.59516931506857</v>
      </c>
      <c r="W39" s="32">
        <f t="shared" si="14"/>
        <v>572.82707270136996</v>
      </c>
      <c r="X39" s="32">
        <f t="shared" si="15"/>
        <v>584.05897608767134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/>
      <c r="L40" s="117"/>
      <c r="M40" s="168"/>
      <c r="N40" s="113"/>
      <c r="O40" s="96"/>
      <c r="P40" s="96" t="s">
        <v>25</v>
      </c>
      <c r="Q40" s="169">
        <v>30673673</v>
      </c>
      <c r="R40" s="215" t="s">
        <v>4782</v>
      </c>
      <c r="S40" s="198">
        <f>S39-1</f>
        <v>75</v>
      </c>
      <c r="T40" s="215" t="s">
        <v>4787</v>
      </c>
      <c r="U40" s="215">
        <v>529.79999999999995</v>
      </c>
      <c r="V40" s="215">
        <f t="shared" si="6"/>
        <v>566.21540383561648</v>
      </c>
      <c r="W40" s="32">
        <f t="shared" si="14"/>
        <v>577.53971191232881</v>
      </c>
      <c r="X40" s="32">
        <f t="shared" si="15"/>
        <v>588.86401998904114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5066</v>
      </c>
      <c r="L41" s="117">
        <v>-800000</v>
      </c>
      <c r="M41" s="168" t="s">
        <v>4459</v>
      </c>
      <c r="N41" s="113">
        <v>3096</v>
      </c>
      <c r="P41" t="s">
        <v>25</v>
      </c>
      <c r="Q41" s="169">
        <v>5420397</v>
      </c>
      <c r="R41" s="215" t="s">
        <v>4782</v>
      </c>
      <c r="S41" s="198">
        <f>S40</f>
        <v>75</v>
      </c>
      <c r="T41" s="215" t="s">
        <v>4788</v>
      </c>
      <c r="U41" s="215">
        <v>5395.9</v>
      </c>
      <c r="V41" s="215">
        <f t="shared" si="6"/>
        <v>5766.7831210958911</v>
      </c>
      <c r="W41" s="32">
        <f t="shared" si="14"/>
        <v>5882.1187835178089</v>
      </c>
      <c r="X41" s="32">
        <f t="shared" si="15"/>
        <v>5997.4544459397266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56"/>
      <c r="L42" s="117"/>
      <c r="M42" s="168"/>
      <c r="N42" s="113"/>
      <c r="O42" s="99"/>
      <c r="P42" s="99"/>
      <c r="Q42" s="169">
        <v>38533873</v>
      </c>
      <c r="R42" s="215" t="s">
        <v>4782</v>
      </c>
      <c r="S42" s="198">
        <f>S41</f>
        <v>75</v>
      </c>
      <c r="T42" s="215" t="s">
        <v>4789</v>
      </c>
      <c r="U42" s="215">
        <v>3355.8</v>
      </c>
      <c r="V42" s="215">
        <f t="shared" si="6"/>
        <v>3586.4583846575351</v>
      </c>
      <c r="W42" s="32">
        <f t="shared" si="14"/>
        <v>3658.187552350686</v>
      </c>
      <c r="X42" s="32">
        <f t="shared" si="15"/>
        <v>3729.9167200438364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206" t="s">
        <v>4391</v>
      </c>
      <c r="N43" s="113">
        <f>O43*P43</f>
        <v>186078262.5</v>
      </c>
      <c r="O43" s="99">
        <v>47475</v>
      </c>
      <c r="P43" s="99">
        <v>3919.5</v>
      </c>
      <c r="Q43" s="169">
        <v>5809833</v>
      </c>
      <c r="R43" s="215" t="s">
        <v>4894</v>
      </c>
      <c r="S43" s="198">
        <f>S42-21</f>
        <v>54</v>
      </c>
      <c r="T43" s="215" t="s">
        <v>4898</v>
      </c>
      <c r="U43" s="215">
        <v>587.29999999999995</v>
      </c>
      <c r="V43" s="215">
        <f t="shared" si="6"/>
        <v>618.20646136986295</v>
      </c>
      <c r="W43" s="32">
        <f t="shared" si="14"/>
        <v>630.57059059726021</v>
      </c>
      <c r="X43" s="32">
        <f t="shared" si="15"/>
        <v>642.93471982465746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4583</v>
      </c>
      <c r="N44" s="117">
        <f t="shared" ref="N44:N50" si="16">O44*P44</f>
        <v>841000</v>
      </c>
      <c r="O44" s="69">
        <v>2000</v>
      </c>
      <c r="P44" s="69">
        <v>420.5</v>
      </c>
      <c r="Q44" s="169">
        <v>22263826</v>
      </c>
      <c r="R44" s="215" t="s">
        <v>4894</v>
      </c>
      <c r="S44" s="198">
        <f>S43</f>
        <v>54</v>
      </c>
      <c r="T44" s="215" t="s">
        <v>4899</v>
      </c>
      <c r="U44" s="215">
        <v>3560</v>
      </c>
      <c r="V44" s="215">
        <f t="shared" si="6"/>
        <v>3747.3437808219178</v>
      </c>
      <c r="W44" s="32">
        <f t="shared" si="14"/>
        <v>3822.2906564383561</v>
      </c>
      <c r="X44" s="32">
        <f t="shared" si="15"/>
        <v>3897.2375320547944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4569</v>
      </c>
      <c r="N45" s="117">
        <f t="shared" si="16"/>
        <v>62975</v>
      </c>
      <c r="O45" s="69">
        <v>50</v>
      </c>
      <c r="P45" s="69">
        <v>1259.5</v>
      </c>
      <c r="Q45" s="169">
        <v>112288</v>
      </c>
      <c r="R45" s="215" t="s">
        <v>981</v>
      </c>
      <c r="S45" s="198">
        <f>S44-1</f>
        <v>53</v>
      </c>
      <c r="T45" s="215" t="s">
        <v>4901</v>
      </c>
      <c r="U45" s="215">
        <v>3605.5</v>
      </c>
      <c r="V45" s="215">
        <f t="shared" si="6"/>
        <v>3792.4723397260277</v>
      </c>
      <c r="W45" s="32">
        <f t="shared" si="14"/>
        <v>3868.3217865205484</v>
      </c>
      <c r="X45" s="32">
        <f t="shared" si="15"/>
        <v>3944.171233315069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 t="s">
        <v>25</v>
      </c>
      <c r="L46" s="117"/>
      <c r="M46" s="19" t="s">
        <v>4395</v>
      </c>
      <c r="N46" s="113">
        <f t="shared" si="16"/>
        <v>161257480.80000001</v>
      </c>
      <c r="O46" s="69">
        <v>33238</v>
      </c>
      <c r="P46" s="69">
        <v>4851.6000000000004</v>
      </c>
      <c r="Q46" s="169">
        <v>164707</v>
      </c>
      <c r="R46" s="215" t="s">
        <v>4957</v>
      </c>
      <c r="S46" s="198">
        <f>S45-27</f>
        <v>26</v>
      </c>
      <c r="T46" s="215" t="s">
        <v>4958</v>
      </c>
      <c r="U46" s="215">
        <v>633</v>
      </c>
      <c r="V46" s="215">
        <f t="shared" si="6"/>
        <v>652.71491506849316</v>
      </c>
      <c r="W46" s="32">
        <f t="shared" si="14"/>
        <v>665.769213369863</v>
      </c>
      <c r="X46" s="32">
        <f t="shared" si="15"/>
        <v>678.82351167123295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4410</v>
      </c>
      <c r="N47" s="117">
        <f t="shared" si="16"/>
        <v>74912702</v>
      </c>
      <c r="O47" s="69">
        <v>106835</v>
      </c>
      <c r="P47" s="69">
        <v>701.2</v>
      </c>
      <c r="Q47" s="169">
        <v>466781</v>
      </c>
      <c r="R47" s="215" t="s">
        <v>5020</v>
      </c>
      <c r="S47" s="198">
        <f>S46-16</f>
        <v>10</v>
      </c>
      <c r="T47" s="215" t="s">
        <v>5021</v>
      </c>
      <c r="U47" s="215">
        <v>4005.4</v>
      </c>
      <c r="V47" s="215">
        <f t="shared" si="6"/>
        <v>4080.9868361643839</v>
      </c>
      <c r="W47" s="32">
        <f t="shared" si="14"/>
        <v>4162.606572887672</v>
      </c>
      <c r="X47" s="32">
        <f t="shared" si="15"/>
        <v>4244.2263096109591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4538</v>
      </c>
      <c r="N48" s="117">
        <f t="shared" si="16"/>
        <v>0</v>
      </c>
      <c r="O48" s="69">
        <v>0</v>
      </c>
      <c r="P48" s="69">
        <v>5127.6000000000004</v>
      </c>
      <c r="Q48" s="169">
        <v>1204691</v>
      </c>
      <c r="R48" s="215" t="s">
        <v>5027</v>
      </c>
      <c r="S48" s="198">
        <f>S47-4</f>
        <v>6</v>
      </c>
      <c r="T48" s="215" t="s">
        <v>5028</v>
      </c>
      <c r="U48" s="215">
        <v>218.5</v>
      </c>
      <c r="V48" s="215">
        <f t="shared" si="6"/>
        <v>221.95289863013699</v>
      </c>
      <c r="W48" s="32">
        <f t="shared" si="14"/>
        <v>226.39195660273973</v>
      </c>
      <c r="X48" s="32">
        <f t="shared" si="15"/>
        <v>230.83101457534246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9" t="s">
        <v>4179</v>
      </c>
      <c r="N49" s="113">
        <f t="shared" si="16"/>
        <v>258801912.79999998</v>
      </c>
      <c r="O49" s="99">
        <v>1346524</v>
      </c>
      <c r="P49" s="99">
        <v>192.2</v>
      </c>
      <c r="Q49" s="169">
        <v>15011877</v>
      </c>
      <c r="R49" s="215" t="s">
        <v>5031</v>
      </c>
      <c r="S49" s="198">
        <f>S48-3</f>
        <v>3</v>
      </c>
      <c r="T49" s="215" t="s">
        <v>5037</v>
      </c>
      <c r="U49" s="215">
        <v>197.1</v>
      </c>
      <c r="V49" s="215">
        <f t="shared" si="6"/>
        <v>199.76112000000001</v>
      </c>
      <c r="W49" s="32">
        <f t="shared" si="14"/>
        <v>203.75634240000002</v>
      </c>
      <c r="X49" s="32">
        <f t="shared" si="15"/>
        <v>207.75156480000001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1086</v>
      </c>
      <c r="N50" s="117">
        <f t="shared" si="16"/>
        <v>0</v>
      </c>
      <c r="O50" s="69">
        <v>0</v>
      </c>
      <c r="P50" s="69">
        <v>490000</v>
      </c>
      <c r="Q50" s="169">
        <v>34988328</v>
      </c>
      <c r="R50" s="215" t="s">
        <v>5031</v>
      </c>
      <c r="S50" s="198">
        <f>S49</f>
        <v>3</v>
      </c>
      <c r="T50" s="215" t="s">
        <v>5038</v>
      </c>
      <c r="U50" s="215">
        <v>3800.4</v>
      </c>
      <c r="V50" s="215">
        <f t="shared" si="6"/>
        <v>3851.7106060273977</v>
      </c>
      <c r="W50" s="32">
        <f t="shared" si="14"/>
        <v>3928.7448181479458</v>
      </c>
      <c r="X50" s="32">
        <f t="shared" si="15"/>
        <v>4005.7790302684939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73"/>
      <c r="N51" s="117"/>
      <c r="O51" s="122"/>
      <c r="P51" s="122"/>
      <c r="Q51" s="169">
        <v>397054</v>
      </c>
      <c r="R51" s="215" t="s">
        <v>5040</v>
      </c>
      <c r="S51" s="198">
        <f>S50-4</f>
        <v>-1</v>
      </c>
      <c r="T51" s="215" t="s">
        <v>5041</v>
      </c>
      <c r="U51" s="215">
        <v>3800.2</v>
      </c>
      <c r="V51" s="215">
        <f t="shared" si="6"/>
        <v>3839.8470180821923</v>
      </c>
      <c r="W51" s="32">
        <f t="shared" si="14"/>
        <v>3916.6439584438363</v>
      </c>
      <c r="X51" s="32">
        <f t="shared" si="15"/>
        <v>3993.4408988054802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68" t="s">
        <v>1152</v>
      </c>
      <c r="N52" s="117">
        <v>14908</v>
      </c>
      <c r="O52" s="96"/>
      <c r="P52" t="s">
        <v>25</v>
      </c>
      <c r="Q52" s="169">
        <v>49426370</v>
      </c>
      <c r="R52" s="215" t="s">
        <v>5049</v>
      </c>
      <c r="S52" s="198">
        <f>S51-1</f>
        <v>-2</v>
      </c>
      <c r="T52" s="215" t="s">
        <v>5056</v>
      </c>
      <c r="U52" s="215">
        <v>3589.3</v>
      </c>
      <c r="V52" s="215">
        <f t="shared" si="6"/>
        <v>3623.9932887671234</v>
      </c>
      <c r="W52" s="32">
        <f t="shared" si="14"/>
        <v>3696.4731545424661</v>
      </c>
      <c r="X52" s="32">
        <f t="shared" si="15"/>
        <v>3768.9530203178083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99"/>
      <c r="M53" s="168" t="s">
        <v>1153</v>
      </c>
      <c r="N53" s="117">
        <v>5282</v>
      </c>
      <c r="O53" s="96"/>
      <c r="P53" t="s">
        <v>25</v>
      </c>
      <c r="Q53" s="169">
        <v>35272425</v>
      </c>
      <c r="R53" s="215" t="s">
        <v>5053</v>
      </c>
      <c r="S53" s="198">
        <f>S52</f>
        <v>-2</v>
      </c>
      <c r="T53" s="215" t="s">
        <v>5057</v>
      </c>
      <c r="U53" s="215">
        <v>4730.8999999999996</v>
      </c>
      <c r="V53" s="215">
        <f t="shared" si="6"/>
        <v>4776.6277128767124</v>
      </c>
      <c r="W53" s="32">
        <f t="shared" si="14"/>
        <v>4872.1602671342471</v>
      </c>
      <c r="X53" s="32">
        <f t="shared" si="15"/>
        <v>4967.6928213917809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O54" s="115"/>
      <c r="P54" s="115"/>
      <c r="Q54" s="169">
        <v>3098904</v>
      </c>
      <c r="R54" s="215" t="s">
        <v>5054</v>
      </c>
      <c r="S54" s="198">
        <f>S53</f>
        <v>-2</v>
      </c>
      <c r="T54" s="215" t="s">
        <v>5058</v>
      </c>
      <c r="U54" s="215">
        <v>671.9</v>
      </c>
      <c r="V54" s="215">
        <f t="shared" si="6"/>
        <v>678.39441972602742</v>
      </c>
      <c r="W54" s="32">
        <f t="shared" si="14"/>
        <v>691.96230812054796</v>
      </c>
      <c r="X54" s="32">
        <f t="shared" si="15"/>
        <v>705.5301965150685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 t="s">
        <v>25</v>
      </c>
      <c r="L55" s="117"/>
      <c r="M55" s="168" t="s">
        <v>4180</v>
      </c>
      <c r="N55" s="113">
        <f>-O55*P55</f>
        <v>-10319986.799999999</v>
      </c>
      <c r="O55" s="99">
        <v>53694</v>
      </c>
      <c r="P55" s="99">
        <f>P49</f>
        <v>192.2</v>
      </c>
      <c r="Q55" s="169">
        <v>12803120</v>
      </c>
      <c r="R55" s="215" t="s">
        <v>5055</v>
      </c>
      <c r="S55" s="198">
        <f>S54</f>
        <v>-2</v>
      </c>
      <c r="T55" s="215" t="s">
        <v>5059</v>
      </c>
      <c r="U55" s="215">
        <v>194.4</v>
      </c>
      <c r="V55" s="215">
        <f t="shared" si="6"/>
        <v>196.27902246575343</v>
      </c>
      <c r="W55" s="32">
        <f t="shared" si="14"/>
        <v>200.20460291506851</v>
      </c>
      <c r="X55" s="32">
        <f t="shared" si="15"/>
        <v>204.13018336438358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/>
      <c r="L56" s="117"/>
      <c r="M56" s="168"/>
      <c r="N56" s="113"/>
      <c r="Q56" s="169">
        <v>1210872</v>
      </c>
      <c r="R56" s="215" t="s">
        <v>5060</v>
      </c>
      <c r="S56" s="198">
        <f>S55-1</f>
        <v>-3</v>
      </c>
      <c r="T56" s="215" t="s">
        <v>5062</v>
      </c>
      <c r="U56" s="215">
        <v>3720</v>
      </c>
      <c r="V56" s="215">
        <f t="shared" si="6"/>
        <v>3753.1029041095894</v>
      </c>
      <c r="W56" s="32">
        <f t="shared" si="14"/>
        <v>3828.1649621917813</v>
      </c>
      <c r="X56" s="32">
        <f t="shared" si="15"/>
        <v>3903.2270202739733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Q57" s="169">
        <v>2001620</v>
      </c>
      <c r="R57" s="215" t="s">
        <v>5068</v>
      </c>
      <c r="S57" s="198">
        <f>S56-2</f>
        <v>-5</v>
      </c>
      <c r="T57" s="215" t="s">
        <v>5070</v>
      </c>
      <c r="U57" s="215">
        <v>3780.6</v>
      </c>
      <c r="V57" s="215">
        <f t="shared" si="6"/>
        <v>3808.4417884931509</v>
      </c>
      <c r="W57" s="32">
        <f t="shared" si="14"/>
        <v>3884.610624263014</v>
      </c>
      <c r="X57" s="32">
        <f t="shared" si="15"/>
        <v>3960.7794600328771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 t="s">
        <v>4446</v>
      </c>
      <c r="N58" s="113">
        <f>-S171</f>
        <v>-16844080.618801109</v>
      </c>
      <c r="Q58" s="169">
        <v>100562</v>
      </c>
      <c r="R58" s="215" t="s">
        <v>5072</v>
      </c>
      <c r="S58" s="198">
        <f>S57-3</f>
        <v>-8</v>
      </c>
      <c r="T58" s="215" t="s">
        <v>5073</v>
      </c>
      <c r="U58" s="215">
        <v>190.3</v>
      </c>
      <c r="V58" s="215">
        <f t="shared" si="6"/>
        <v>191.26349150684936</v>
      </c>
      <c r="W58" s="32">
        <f t="shared" si="14"/>
        <v>195.08876133698635</v>
      </c>
      <c r="X58" s="32">
        <f t="shared" si="15"/>
        <v>198.91403116712334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4724</v>
      </c>
      <c r="N59" s="113">
        <f>50*P50</f>
        <v>24500000</v>
      </c>
      <c r="P59" t="s">
        <v>25</v>
      </c>
      <c r="Q59" s="169"/>
      <c r="R59" s="168"/>
      <c r="S59" s="168"/>
      <c r="T59" s="168"/>
      <c r="U59" s="168"/>
      <c r="V59" s="215">
        <f t="shared" si="6"/>
        <v>0</v>
      </c>
      <c r="W59" s="32">
        <f t="shared" si="14"/>
        <v>0</v>
      </c>
      <c r="X59" s="32">
        <f t="shared" si="15"/>
        <v>0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P60" t="s">
        <v>25</v>
      </c>
      <c r="Q60" s="169">
        <f>SUM(N21:N24)-SUM(Q20:Q59)</f>
        <v>47804565.300000012</v>
      </c>
      <c r="R60" s="168"/>
      <c r="S60" s="168" t="s">
        <v>25</v>
      </c>
      <c r="T60" s="168"/>
      <c r="U60" s="168"/>
      <c r="V60" s="168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598</v>
      </c>
      <c r="L61" s="113">
        <f>SUM(L16:L48)</f>
        <v>481179169.52363372</v>
      </c>
      <c r="M61" s="168"/>
      <c r="N61" s="113">
        <f>SUM(N16:N60)</f>
        <v>537462875.25756526</v>
      </c>
      <c r="R61" s="115"/>
      <c r="S61" s="115" t="s">
        <v>25</v>
      </c>
      <c r="T61" s="115"/>
      <c r="U61" s="115" t="s">
        <v>25</v>
      </c>
      <c r="V61" s="115"/>
      <c r="W61" s="195"/>
      <c r="X61" s="195"/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599</v>
      </c>
      <c r="L62" s="113">
        <f>L16+L17+L24</f>
        <v>647077</v>
      </c>
      <c r="M62" s="168"/>
      <c r="N62" s="113">
        <f>N16+N17+N34</f>
        <v>641053</v>
      </c>
      <c r="Q62" s="96"/>
      <c r="R62" s="115"/>
      <c r="S62" s="115"/>
      <c r="T62" s="115" t="s">
        <v>25</v>
      </c>
      <c r="U62" s="115" t="s">
        <v>25</v>
      </c>
      <c r="V62" s="115"/>
      <c r="W62" s="195"/>
      <c r="X62" s="195"/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 t="s">
        <v>716</v>
      </c>
      <c r="L63" s="1">
        <f>L61+N7</f>
        <v>551179169.52363372</v>
      </c>
      <c r="M63" s="113"/>
      <c r="N63" s="168"/>
      <c r="O63" s="115"/>
      <c r="P63" s="115"/>
      <c r="Q63" s="168" t="s">
        <v>657</v>
      </c>
      <c r="R63" s="168"/>
      <c r="S63" s="168"/>
      <c r="T63" s="168"/>
      <c r="U63" s="168"/>
      <c r="V63" s="168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 ht="30">
      <c r="E64" s="26"/>
      <c r="O64" s="96"/>
      <c r="P64" s="96"/>
      <c r="Q64" s="168" t="s">
        <v>267</v>
      </c>
      <c r="R64" s="168" t="s">
        <v>180</v>
      </c>
      <c r="S64" s="168" t="s">
        <v>183</v>
      </c>
      <c r="T64" s="168" t="s">
        <v>8</v>
      </c>
      <c r="U64" s="168" t="s">
        <v>4363</v>
      </c>
      <c r="V64" s="73" t="s">
        <v>4365</v>
      </c>
      <c r="W64" s="32">
        <v>2</v>
      </c>
      <c r="X64" s="32">
        <v>4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M65" s="25"/>
      <c r="O65" t="s">
        <v>25</v>
      </c>
      <c r="Q65" s="168">
        <v>0</v>
      </c>
      <c r="R65" s="168" t="s">
        <v>4172</v>
      </c>
      <c r="S65" s="168">
        <f>S92</f>
        <v>230</v>
      </c>
      <c r="T65" s="168"/>
      <c r="U65" s="168"/>
      <c r="V65" s="73"/>
      <c r="W65" s="32"/>
      <c r="X65" s="32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7">AL66+AK65</f>
        <v>199</v>
      </c>
      <c r="AM65" s="113">
        <f t="shared" si="11"/>
        <v>198005000</v>
      </c>
      <c r="AN65" s="20"/>
    </row>
    <row r="66" spans="1:40">
      <c r="M66" s="25" t="s">
        <v>4080</v>
      </c>
      <c r="N66" s="99" t="s">
        <v>452</v>
      </c>
      <c r="O66" s="113">
        <f>O49*25</f>
        <v>33663100</v>
      </c>
      <c r="P66" s="115"/>
      <c r="Q66" s="169">
        <v>863944</v>
      </c>
      <c r="R66" s="168" t="s">
        <v>4438</v>
      </c>
      <c r="S66" s="168">
        <f>S65-62</f>
        <v>168</v>
      </c>
      <c r="T66" s="191" t="s">
        <v>4510</v>
      </c>
      <c r="U66" s="168">
        <v>184.6</v>
      </c>
      <c r="V66" s="168">
        <f t="shared" ref="V66:V83" si="18">U66*(1+$N$81+$Q$15*S66/36500)</f>
        <v>210.4581610958904</v>
      </c>
      <c r="W66" s="32">
        <f t="shared" ref="W66:W83" si="19">V66*(1+$W$19/100)</f>
        <v>214.66732431780821</v>
      </c>
      <c r="X66" s="32">
        <f t="shared" ref="X66:X83" si="20">V66*(1+$X$19/100)</f>
        <v>218.87648753972601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7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77"/>
      <c r="N67" s="99" t="s">
        <v>1087</v>
      </c>
      <c r="O67" s="113">
        <f>O30*25</f>
        <v>3278675</v>
      </c>
      <c r="P67" s="115"/>
      <c r="Q67" s="169">
        <v>1692313</v>
      </c>
      <c r="R67" s="168" t="s">
        <v>4513</v>
      </c>
      <c r="S67" s="198">
        <f>S66-21</f>
        <v>147</v>
      </c>
      <c r="T67" s="190" t="s">
        <v>4514</v>
      </c>
      <c r="U67" s="168">
        <v>168.5</v>
      </c>
      <c r="V67" s="168">
        <f t="shared" si="18"/>
        <v>189.38846027397261</v>
      </c>
      <c r="W67" s="32">
        <f t="shared" si="19"/>
        <v>193.17622947945208</v>
      </c>
      <c r="X67" s="32">
        <f t="shared" si="20"/>
        <v>196.96399868493151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7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96" t="s">
        <v>4844</v>
      </c>
      <c r="N68" s="99" t="s">
        <v>751</v>
      </c>
      <c r="O68" s="113">
        <f>O21*25</f>
        <v>5745050</v>
      </c>
      <c r="Q68" s="169">
        <v>101153</v>
      </c>
      <c r="R68" s="168" t="s">
        <v>4516</v>
      </c>
      <c r="S68" s="198">
        <f>S67-1</f>
        <v>146</v>
      </c>
      <c r="T68" s="190" t="s">
        <v>4518</v>
      </c>
      <c r="U68" s="168">
        <v>166.7</v>
      </c>
      <c r="V68" s="168">
        <f t="shared" si="18"/>
        <v>187.23744000000002</v>
      </c>
      <c r="W68" s="32">
        <f t="shared" si="19"/>
        <v>190.98218880000002</v>
      </c>
      <c r="X68" s="32">
        <f t="shared" si="20"/>
        <v>194.72693760000004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7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122" t="s">
        <v>4411</v>
      </c>
      <c r="O69" s="114"/>
      <c r="Q69" s="169">
        <v>183105</v>
      </c>
      <c r="R69" s="168" t="s">
        <v>4231</v>
      </c>
      <c r="S69" s="198">
        <f>S68-1</f>
        <v>145</v>
      </c>
      <c r="T69" s="190" t="s">
        <v>4522</v>
      </c>
      <c r="U69" s="168">
        <v>166.6</v>
      </c>
      <c r="V69" s="168">
        <f t="shared" si="18"/>
        <v>186.99731726027397</v>
      </c>
      <c r="W69" s="32">
        <f t="shared" si="19"/>
        <v>190.73726360547946</v>
      </c>
      <c r="X69" s="32">
        <f t="shared" si="20"/>
        <v>194.47720995068494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7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4507</v>
      </c>
      <c r="N70" s="96"/>
      <c r="Q70" s="169">
        <v>168846</v>
      </c>
      <c r="R70" s="168" t="s">
        <v>3691</v>
      </c>
      <c r="S70" s="198">
        <f>S69-30</f>
        <v>115</v>
      </c>
      <c r="T70" s="190" t="s">
        <v>4621</v>
      </c>
      <c r="U70" s="168">
        <v>172.2</v>
      </c>
      <c r="V70" s="168">
        <f t="shared" si="18"/>
        <v>189.31998246575341</v>
      </c>
      <c r="W70" s="32">
        <f t="shared" si="19"/>
        <v>193.10638211506847</v>
      </c>
      <c r="X70" s="32">
        <f t="shared" si="20"/>
        <v>196.89278176438356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7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4577</v>
      </c>
      <c r="N71" s="96"/>
      <c r="P71" t="s">
        <v>25</v>
      </c>
      <c r="Q71" s="169">
        <v>250962</v>
      </c>
      <c r="R71" s="168" t="s">
        <v>4663</v>
      </c>
      <c r="S71" s="198">
        <f>S70-10</f>
        <v>105</v>
      </c>
      <c r="T71" s="190" t="s">
        <v>4664</v>
      </c>
      <c r="U71" s="168">
        <v>5315.5</v>
      </c>
      <c r="V71" s="168">
        <f t="shared" si="18"/>
        <v>5803.1862027397265</v>
      </c>
      <c r="W71" s="32">
        <f t="shared" si="19"/>
        <v>5919.2499267945213</v>
      </c>
      <c r="X71" s="32">
        <f t="shared" si="20"/>
        <v>6035.3136508493153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7"/>
        <v>189</v>
      </c>
      <c r="AM71" s="117">
        <f t="shared" si="11"/>
        <v>2929500000</v>
      </c>
      <c r="AN71" s="20"/>
    </row>
    <row r="72" spans="1:40" ht="45">
      <c r="G72" t="s">
        <v>4106</v>
      </c>
      <c r="K72" s="214" t="s">
        <v>4769</v>
      </c>
      <c r="L72" s="22" t="s">
        <v>4739</v>
      </c>
      <c r="M72" s="208" t="s">
        <v>4715</v>
      </c>
      <c r="N72" s="96"/>
      <c r="P72" s="115"/>
      <c r="Q72" s="169">
        <v>352231</v>
      </c>
      <c r="R72" s="215" t="s">
        <v>4704</v>
      </c>
      <c r="S72" s="198">
        <f>S71-7</f>
        <v>98</v>
      </c>
      <c r="T72" s="190" t="s">
        <v>4706</v>
      </c>
      <c r="U72" s="215">
        <v>502.3</v>
      </c>
      <c r="V72" s="215">
        <f t="shared" si="18"/>
        <v>545.68771068493163</v>
      </c>
      <c r="W72" s="32">
        <f t="shared" si="19"/>
        <v>556.6014648986303</v>
      </c>
      <c r="X72" s="32">
        <f t="shared" si="20"/>
        <v>567.51521911232896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7"/>
        <v>185</v>
      </c>
      <c r="AM72" s="117">
        <f t="shared" si="11"/>
        <v>27750000</v>
      </c>
      <c r="AN72" s="20"/>
    </row>
    <row r="73" spans="1:40">
      <c r="G73" t="s">
        <v>4105</v>
      </c>
      <c r="K73" t="s">
        <v>4770</v>
      </c>
      <c r="M73" s="122"/>
      <c r="N73" s="96"/>
      <c r="P73" s="115" t="s">
        <v>25</v>
      </c>
      <c r="Q73" s="169">
        <v>165067</v>
      </c>
      <c r="R73" s="215" t="s">
        <v>4749</v>
      </c>
      <c r="S73" s="198">
        <f>S72-16</f>
        <v>82</v>
      </c>
      <c r="T73" s="190" t="s">
        <v>4754</v>
      </c>
      <c r="U73" s="215">
        <v>3095.9</v>
      </c>
      <c r="V73" s="215">
        <f t="shared" si="18"/>
        <v>3325.3189128767126</v>
      </c>
      <c r="W73" s="32">
        <f t="shared" si="19"/>
        <v>3391.825291134247</v>
      </c>
      <c r="X73" s="32">
        <f t="shared" si="20"/>
        <v>3458.3316693917814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7"/>
        <v>184</v>
      </c>
      <c r="AM73" s="180">
        <f t="shared" si="11"/>
        <v>5336000000</v>
      </c>
      <c r="AN73" s="179" t="s">
        <v>4186</v>
      </c>
    </row>
    <row r="74" spans="1:40">
      <c r="K74" t="s">
        <v>4580</v>
      </c>
      <c r="L74" s="96"/>
      <c r="M74" s="122"/>
      <c r="O74" t="s">
        <v>25</v>
      </c>
      <c r="P74" s="115"/>
      <c r="Q74" s="169">
        <v>115911</v>
      </c>
      <c r="R74" s="215" t="s">
        <v>981</v>
      </c>
      <c r="S74" s="198">
        <f>S73-29</f>
        <v>53</v>
      </c>
      <c r="T74" s="190" t="s">
        <v>4902</v>
      </c>
      <c r="U74" s="215">
        <v>3605.5</v>
      </c>
      <c r="V74" s="215">
        <f t="shared" si="18"/>
        <v>3792.4723397260277</v>
      </c>
      <c r="W74" s="32">
        <f t="shared" si="19"/>
        <v>3868.3217865205484</v>
      </c>
      <c r="X74" s="32">
        <f t="shared" si="20"/>
        <v>3944.171233315069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7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4845</v>
      </c>
      <c r="M75" s="96">
        <f>O49+O21+O30-O55</f>
        <v>1653779</v>
      </c>
      <c r="N75" s="113">
        <f>M75*P49</f>
        <v>317856323.79999995</v>
      </c>
      <c r="P75" s="115"/>
      <c r="Q75" s="169">
        <v>3792615</v>
      </c>
      <c r="R75" s="5" t="s">
        <v>4920</v>
      </c>
      <c r="S75" s="198">
        <f>S74-12</f>
        <v>41</v>
      </c>
      <c r="T75" s="190" t="s">
        <v>4923</v>
      </c>
      <c r="U75" s="215">
        <v>3775.1</v>
      </c>
      <c r="V75" s="215">
        <f t="shared" si="18"/>
        <v>3936.1157720547949</v>
      </c>
      <c r="W75" s="32">
        <f t="shared" si="19"/>
        <v>4014.8380874958907</v>
      </c>
      <c r="X75" s="32">
        <f t="shared" si="20"/>
        <v>4093.560402936987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7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4846</v>
      </c>
      <c r="M76" t="s">
        <v>4267</v>
      </c>
      <c r="P76" s="115"/>
      <c r="Q76" s="169">
        <v>6278475</v>
      </c>
      <c r="R76" s="5" t="s">
        <v>4920</v>
      </c>
      <c r="S76" s="198">
        <f>S75</f>
        <v>41</v>
      </c>
      <c r="T76" s="190" t="s">
        <v>4924</v>
      </c>
      <c r="U76" s="215">
        <v>6250.1</v>
      </c>
      <c r="V76" s="215">
        <f t="shared" si="18"/>
        <v>6516.6796076712335</v>
      </c>
      <c r="W76" s="32">
        <f t="shared" si="19"/>
        <v>6647.0131998246579</v>
      </c>
      <c r="X76" s="32">
        <f t="shared" si="20"/>
        <v>6777.3467919780833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7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4847</v>
      </c>
      <c r="M77" t="s">
        <v>4582</v>
      </c>
      <c r="N77" t="s">
        <v>25</v>
      </c>
      <c r="P77" s="115"/>
      <c r="Q77" s="169">
        <v>19918023</v>
      </c>
      <c r="R77" s="5" t="s">
        <v>4920</v>
      </c>
      <c r="S77" s="198">
        <f>S76</f>
        <v>41</v>
      </c>
      <c r="T77" s="190" t="s">
        <v>4925</v>
      </c>
      <c r="U77" s="215">
        <v>183</v>
      </c>
      <c r="V77" s="215">
        <f t="shared" si="18"/>
        <v>190.80532602739729</v>
      </c>
      <c r="W77" s="32">
        <f t="shared" si="19"/>
        <v>194.62143254794523</v>
      </c>
      <c r="X77" s="32">
        <f t="shared" si="20"/>
        <v>198.43753906849318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7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4540</v>
      </c>
      <c r="P78" s="115"/>
      <c r="Q78" s="169">
        <v>168390</v>
      </c>
      <c r="R78" s="19" t="s">
        <v>4957</v>
      </c>
      <c r="S78" s="198">
        <f>S77-14</f>
        <v>27</v>
      </c>
      <c r="T78" s="190" t="s">
        <v>4959</v>
      </c>
      <c r="U78" s="215">
        <v>632.5</v>
      </c>
      <c r="V78" s="215">
        <f t="shared" si="18"/>
        <v>652.68454794520562</v>
      </c>
      <c r="W78" s="32">
        <f t="shared" si="19"/>
        <v>665.73823890410972</v>
      </c>
      <c r="X78" s="32">
        <f t="shared" si="20"/>
        <v>678.79192986301382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4586</v>
      </c>
      <c r="M79" t="s">
        <v>949</v>
      </c>
      <c r="N79">
        <v>6.3E-3</v>
      </c>
      <c r="P79" s="115"/>
      <c r="Q79" s="169">
        <v>466781</v>
      </c>
      <c r="R79" s="19" t="s">
        <v>5020</v>
      </c>
      <c r="S79" s="198">
        <f>S78-16</f>
        <v>11</v>
      </c>
      <c r="T79" s="190" t="s">
        <v>5021</v>
      </c>
      <c r="U79" s="215">
        <v>4005.4</v>
      </c>
      <c r="V79" s="215">
        <f t="shared" si="18"/>
        <v>4084.0594717808222</v>
      </c>
      <c r="W79" s="32">
        <f t="shared" si="19"/>
        <v>4165.7406612164386</v>
      </c>
      <c r="X79" s="32">
        <f t="shared" si="20"/>
        <v>4247.4218506520556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4539</v>
      </c>
      <c r="M80" t="s">
        <v>61</v>
      </c>
      <c r="N80">
        <v>4.8999999999999998E-3</v>
      </c>
      <c r="P80" s="115"/>
      <c r="Q80" s="169">
        <v>1200301</v>
      </c>
      <c r="R80" s="19" t="s">
        <v>5027</v>
      </c>
      <c r="S80" s="198">
        <f>S79-4</f>
        <v>7</v>
      </c>
      <c r="T80" s="190" t="s">
        <v>5029</v>
      </c>
      <c r="U80" s="215">
        <v>218.5</v>
      </c>
      <c r="V80" s="215">
        <f t="shared" si="18"/>
        <v>222.12051506849318</v>
      </c>
      <c r="W80" s="32">
        <f t="shared" si="19"/>
        <v>226.56292536986305</v>
      </c>
      <c r="X80" s="32">
        <f t="shared" si="20"/>
        <v>231.0053356712329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s="22" t="s">
        <v>4243</v>
      </c>
      <c r="M81" t="s">
        <v>6</v>
      </c>
      <c r="N81">
        <f>N79+N80</f>
        <v>1.12E-2</v>
      </c>
      <c r="O81" t="s">
        <v>25</v>
      </c>
      <c r="P81" t="s">
        <v>25</v>
      </c>
      <c r="Q81" s="169">
        <v>358780</v>
      </c>
      <c r="R81" s="19" t="s">
        <v>5049</v>
      </c>
      <c r="S81" s="198">
        <f>S80-8</f>
        <v>-1</v>
      </c>
      <c r="T81" s="190" t="s">
        <v>5050</v>
      </c>
      <c r="U81" s="215">
        <v>3607.3</v>
      </c>
      <c r="V81" s="215">
        <f t="shared" si="18"/>
        <v>3644.9345161643846</v>
      </c>
      <c r="W81" s="32">
        <f t="shared" si="19"/>
        <v>3717.8332064876722</v>
      </c>
      <c r="X81" s="32">
        <f t="shared" si="20"/>
        <v>3790.7318968109603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4536</v>
      </c>
      <c r="Q82" s="169">
        <v>349201</v>
      </c>
      <c r="R82" s="19" t="s">
        <v>5049</v>
      </c>
      <c r="S82" s="198">
        <f>S81</f>
        <v>-1</v>
      </c>
      <c r="T82" s="190" t="s">
        <v>5051</v>
      </c>
      <c r="U82" s="215">
        <v>4574</v>
      </c>
      <c r="V82" s="215">
        <f t="shared" si="18"/>
        <v>4621.7199780821929</v>
      </c>
      <c r="W82" s="32">
        <f t="shared" si="19"/>
        <v>4714.1543776438366</v>
      </c>
      <c r="X82" s="32">
        <f t="shared" si="20"/>
        <v>4806.5887772054812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4296</v>
      </c>
      <c r="Q83" s="169"/>
      <c r="R83" s="168"/>
      <c r="S83" s="113"/>
      <c r="T83" s="113"/>
      <c r="U83" s="168"/>
      <c r="V83" s="168">
        <f t="shared" si="18"/>
        <v>0</v>
      </c>
      <c r="W83" s="32">
        <f t="shared" si="19"/>
        <v>0</v>
      </c>
      <c r="X83" s="32">
        <f t="shared" si="20"/>
        <v>0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25</v>
      </c>
      <c r="Q84" s="113">
        <f>SUM(N27:N30)-SUM(Q65:Q83)</f>
        <v>210960.79999999702</v>
      </c>
      <c r="R84" s="168"/>
      <c r="S84" s="168"/>
      <c r="T84" s="168"/>
      <c r="U84" s="168"/>
      <c r="V84" s="168"/>
      <c r="W84" s="32"/>
      <c r="X84" s="32"/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7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s="194" t="s">
        <v>4535</v>
      </c>
      <c r="R85" s="115"/>
      <c r="S85" s="115"/>
      <c r="T85" s="115" t="s">
        <v>25</v>
      </c>
      <c r="U85" s="115"/>
      <c r="V85" s="115"/>
      <c r="W85" s="195" t="s">
        <v>25</v>
      </c>
      <c r="X85" s="195"/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7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4536</v>
      </c>
      <c r="Q86" t="s">
        <v>25</v>
      </c>
      <c r="S86" s="26" t="s">
        <v>25</v>
      </c>
      <c r="T86" t="s">
        <v>25</v>
      </c>
      <c r="U86" s="96" t="s">
        <v>25</v>
      </c>
      <c r="V86" s="115" t="s">
        <v>25</v>
      </c>
      <c r="W86" s="195" t="s">
        <v>25</v>
      </c>
      <c r="X86" s="195"/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7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4539</v>
      </c>
      <c r="Q87" t="s">
        <v>25</v>
      </c>
      <c r="T87" t="s">
        <v>25</v>
      </c>
      <c r="W87" s="195" t="s">
        <v>25</v>
      </c>
      <c r="X87" s="195"/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7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4540</v>
      </c>
      <c r="T88" t="s">
        <v>25</v>
      </c>
      <c r="U88" s="96" t="s">
        <v>25</v>
      </c>
      <c r="V88" t="s">
        <v>25</v>
      </c>
      <c r="W88" s="195"/>
      <c r="X88" s="195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L89" s="96"/>
      <c r="M89" s="96"/>
      <c r="N89" s="96"/>
      <c r="W89" s="195"/>
      <c r="X89" s="195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7"/>
        <v>115</v>
      </c>
      <c r="AM89" s="117">
        <f t="shared" si="11"/>
        <v>281750000</v>
      </c>
      <c r="AN89" s="20" t="s">
        <v>4483</v>
      </c>
    </row>
    <row r="90" spans="4:52" ht="30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73" t="s">
        <v>4295</v>
      </c>
      <c r="R90" s="112"/>
      <c r="S90" s="112"/>
      <c r="T90" s="112"/>
      <c r="U90" s="168" t="s">
        <v>4363</v>
      </c>
      <c r="V90" s="36" t="s">
        <v>4365</v>
      </c>
      <c r="W90" s="32"/>
      <c r="X90" s="32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7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K91" s="96"/>
      <c r="Q91" s="112" t="s">
        <v>267</v>
      </c>
      <c r="R91" s="112" t="s">
        <v>180</v>
      </c>
      <c r="S91" s="112" t="s">
        <v>183</v>
      </c>
      <c r="T91" s="112" t="s">
        <v>8</v>
      </c>
      <c r="U91" s="168"/>
      <c r="V91" s="99"/>
      <c r="W91" s="32">
        <v>2</v>
      </c>
      <c r="X91" s="32">
        <v>4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7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K92" s="96"/>
      <c r="Q92" s="35">
        <v>184971545</v>
      </c>
      <c r="R92" s="5" t="s">
        <v>4172</v>
      </c>
      <c r="S92" s="5">
        <v>230</v>
      </c>
      <c r="T92" s="5" t="s">
        <v>4346</v>
      </c>
      <c r="U92" s="168">
        <v>192</v>
      </c>
      <c r="V92" s="99">
        <f t="shared" ref="V92:V123" si="22">U92*(1+$N$81+$Q$15*S92/36500)</f>
        <v>228.02656438356166</v>
      </c>
      <c r="W92" s="32">
        <f t="shared" ref="W92:W112" si="23">V92*(1+$W$19/100)</f>
        <v>232.5870956712329</v>
      </c>
      <c r="X92" s="32">
        <f t="shared" ref="X92:X112" si="24">V92*(1+$X$19/100)</f>
        <v>237.14762695890414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7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K93" s="96"/>
      <c r="P93" s="115"/>
      <c r="Q93" s="35">
        <v>9560464</v>
      </c>
      <c r="R93" s="5" t="s">
        <v>4299</v>
      </c>
      <c r="S93" s="5">
        <f>S92-31</f>
        <v>199</v>
      </c>
      <c r="T93" s="5" t="s">
        <v>4312</v>
      </c>
      <c r="U93" s="168">
        <v>214.57</v>
      </c>
      <c r="V93" s="99">
        <f t="shared" si="22"/>
        <v>249.7289111232877</v>
      </c>
      <c r="W93" s="32">
        <f t="shared" si="23"/>
        <v>254.72348934575345</v>
      </c>
      <c r="X93" s="32">
        <f t="shared" si="24"/>
        <v>259.71806756821923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K94" s="96"/>
      <c r="P94" s="128"/>
      <c r="Q94" s="35">
        <v>2000000</v>
      </c>
      <c r="R94" s="5" t="s">
        <v>4342</v>
      </c>
      <c r="S94" s="5">
        <f>S93-11</f>
        <v>188</v>
      </c>
      <c r="T94" s="5" t="s">
        <v>4345</v>
      </c>
      <c r="U94" s="168">
        <v>206.8</v>
      </c>
      <c r="V94" s="99">
        <f t="shared" si="22"/>
        <v>238.94068602739728</v>
      </c>
      <c r="W94" s="32">
        <f t="shared" si="23"/>
        <v>243.71949974794524</v>
      </c>
      <c r="X94" s="32">
        <f t="shared" si="24"/>
        <v>248.49831346849317</v>
      </c>
      <c r="Y94">
        <v>961521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P95" s="128"/>
      <c r="Q95" s="35">
        <v>1429825</v>
      </c>
      <c r="R95" s="5" t="s">
        <v>4372</v>
      </c>
      <c r="S95" s="5">
        <f>S94-7</f>
        <v>181</v>
      </c>
      <c r="T95" s="5" t="s">
        <v>4381</v>
      </c>
      <c r="U95" s="168">
        <v>203.9</v>
      </c>
      <c r="V95" s="99">
        <f t="shared" si="22"/>
        <v>234.49505534246578</v>
      </c>
      <c r="W95" s="32">
        <f t="shared" si="23"/>
        <v>239.18495644931511</v>
      </c>
      <c r="X95" s="32">
        <f t="shared" si="24"/>
        <v>243.87485755616441</v>
      </c>
      <c r="Y95">
        <v>44349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L96" s="96"/>
      <c r="M96" s="96"/>
      <c r="N96" s="96"/>
      <c r="P96" s="115"/>
      <c r="Q96" s="35">
        <v>1420747</v>
      </c>
      <c r="R96" s="5" t="s">
        <v>4372</v>
      </c>
      <c r="S96" s="5">
        <f>S95</f>
        <v>181</v>
      </c>
      <c r="T96" s="5" t="s">
        <v>4383</v>
      </c>
      <c r="U96" s="168">
        <v>203.1</v>
      </c>
      <c r="V96" s="99">
        <f t="shared" si="22"/>
        <v>233.57501589041095</v>
      </c>
      <c r="W96" s="32">
        <f t="shared" si="23"/>
        <v>238.24651620821916</v>
      </c>
      <c r="X96" s="32">
        <f t="shared" si="24"/>
        <v>242.9180165260274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Q97" s="35">
        <v>2412371</v>
      </c>
      <c r="R97" s="5" t="s">
        <v>4374</v>
      </c>
      <c r="S97" s="5">
        <f>S96-1</f>
        <v>180</v>
      </c>
      <c r="T97" s="5" t="s">
        <v>4390</v>
      </c>
      <c r="U97" s="168">
        <v>3930</v>
      </c>
      <c r="V97" s="99">
        <f t="shared" si="22"/>
        <v>4516.6790136986301</v>
      </c>
      <c r="W97" s="32">
        <f t="shared" si="23"/>
        <v>4607.0125939726031</v>
      </c>
      <c r="X97" s="32">
        <f t="shared" si="24"/>
        <v>4697.3461742465752</v>
      </c>
      <c r="Y97">
        <v>6980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Q98" s="35">
        <v>2010885</v>
      </c>
      <c r="R98" s="5" t="s">
        <v>4393</v>
      </c>
      <c r="S98" s="5">
        <f>S97-2</f>
        <v>178</v>
      </c>
      <c r="T98" s="5" t="s">
        <v>4399</v>
      </c>
      <c r="U98" s="168">
        <v>202.1</v>
      </c>
      <c r="V98" s="99">
        <f t="shared" si="22"/>
        <v>231.95985972602739</v>
      </c>
      <c r="W98" s="32">
        <f t="shared" si="23"/>
        <v>236.59905692054795</v>
      </c>
      <c r="X98" s="32">
        <f t="shared" si="24"/>
        <v>241.23825411506849</v>
      </c>
      <c r="Y98">
        <v>6963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</row>
    <row r="99" spans="4:47">
      <c r="D99" s="2"/>
      <c r="E99" s="3"/>
      <c r="F99" s="215" t="s">
        <v>4708</v>
      </c>
      <c r="G99" s="215" t="s">
        <v>941</v>
      </c>
      <c r="H99" s="215" t="s">
        <v>4693</v>
      </c>
      <c r="I99" s="215" t="s">
        <v>4692</v>
      </c>
      <c r="J99" s="32" t="s">
        <v>4541</v>
      </c>
      <c r="K99" s="215" t="s">
        <v>4683</v>
      </c>
      <c r="L99" s="32" t="s">
        <v>4685</v>
      </c>
      <c r="M99" s="32" t="s">
        <v>4655</v>
      </c>
      <c r="N99" s="215" t="s">
        <v>4656</v>
      </c>
      <c r="Q99" s="35">
        <v>1994038</v>
      </c>
      <c r="R99" s="5" t="s">
        <v>4404</v>
      </c>
      <c r="S99" s="5">
        <f>S98-3</f>
        <v>175</v>
      </c>
      <c r="T99" s="5" t="s">
        <v>4420</v>
      </c>
      <c r="U99" s="168">
        <v>5560.3</v>
      </c>
      <c r="V99" s="99">
        <f t="shared" si="22"/>
        <v>6369.026592876713</v>
      </c>
      <c r="W99" s="32">
        <f t="shared" si="23"/>
        <v>6496.4071247342472</v>
      </c>
      <c r="X99" s="32">
        <f t="shared" si="24"/>
        <v>6623.7876565917813</v>
      </c>
      <c r="Y99" s="96">
        <v>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00">
        <f>$L$107/G100</f>
        <v>25494.276795005204</v>
      </c>
      <c r="G100" s="200">
        <f>P49</f>
        <v>192.2</v>
      </c>
      <c r="H100" s="200" t="s">
        <v>4826</v>
      </c>
      <c r="I100" s="200" t="s">
        <v>4825</v>
      </c>
      <c r="J100" s="216" t="s">
        <v>4243</v>
      </c>
      <c r="K100" s="200">
        <v>70</v>
      </c>
      <c r="L100" s="217">
        <f>K100*$L$107</f>
        <v>343000000</v>
      </c>
      <c r="M100" s="217">
        <f>N21+N30+N49</f>
        <v>328176310.59999996</v>
      </c>
      <c r="N100" s="184">
        <f t="shared" ref="N100:N104" si="26">L100-M100</f>
        <v>14823689.400000036</v>
      </c>
      <c r="Q100" s="35">
        <v>444</v>
      </c>
      <c r="R100" s="5" t="s">
        <v>4404</v>
      </c>
      <c r="S100" s="5">
        <f>S99</f>
        <v>175</v>
      </c>
      <c r="T100" s="5" t="s">
        <v>4611</v>
      </c>
      <c r="U100" s="168">
        <v>441.8</v>
      </c>
      <c r="V100" s="99">
        <f t="shared" si="22"/>
        <v>506.0582969863014</v>
      </c>
      <c r="W100" s="32">
        <f t="shared" si="23"/>
        <v>516.17946292602744</v>
      </c>
      <c r="X100" s="32">
        <f t="shared" si="24"/>
        <v>526.30062886575342</v>
      </c>
      <c r="Y100" s="96">
        <v>9904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15">
        <f>$L$107/G101</f>
        <v>1009.9760903619424</v>
      </c>
      <c r="G101" s="215">
        <f>P46</f>
        <v>4851.6000000000004</v>
      </c>
      <c r="H101" s="215" t="s">
        <v>5031</v>
      </c>
      <c r="I101" s="215" t="s">
        <v>5032</v>
      </c>
      <c r="J101" s="32" t="s">
        <v>4395</v>
      </c>
      <c r="K101" s="215">
        <v>44</v>
      </c>
      <c r="L101" s="1">
        <f>K101*$L$107</f>
        <v>215600000</v>
      </c>
      <c r="M101" s="1">
        <f>N24+N46+N27</f>
        <v>211583127.60000002</v>
      </c>
      <c r="N101" s="113">
        <f t="shared" si="26"/>
        <v>4016872.3999999762</v>
      </c>
      <c r="Q101" s="35">
        <v>1971103</v>
      </c>
      <c r="R101" s="5" t="s">
        <v>4415</v>
      </c>
      <c r="S101" s="5">
        <f>S100-1</f>
        <v>174</v>
      </c>
      <c r="T101" s="5" t="s">
        <v>4416</v>
      </c>
      <c r="U101" s="168">
        <v>196.2</v>
      </c>
      <c r="V101" s="99">
        <f t="shared" si="22"/>
        <v>224.5861084931507</v>
      </c>
      <c r="W101" s="32">
        <f t="shared" si="23"/>
        <v>229.07783066301371</v>
      </c>
      <c r="X101" s="32">
        <f t="shared" si="24"/>
        <v>233.56955283287675</v>
      </c>
      <c r="Y101" s="96">
        <v>0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F102" s="200">
        <f>$L$107/G102</f>
        <v>1250.1594591146829</v>
      </c>
      <c r="G102" s="200">
        <f>P43</f>
        <v>3919.5</v>
      </c>
      <c r="H102" s="200" t="s">
        <v>3881</v>
      </c>
      <c r="I102" s="200" t="s">
        <v>4696</v>
      </c>
      <c r="J102" s="216" t="s">
        <v>4391</v>
      </c>
      <c r="K102" s="200">
        <v>56</v>
      </c>
      <c r="L102" s="217">
        <f>K102*$L$107</f>
        <v>274400000</v>
      </c>
      <c r="M102" s="217">
        <f>N43+N28+N22</f>
        <v>385255494</v>
      </c>
      <c r="N102" s="184">
        <f t="shared" si="26"/>
        <v>-110855494</v>
      </c>
      <c r="Q102" s="35">
        <v>1049856</v>
      </c>
      <c r="R102" s="5" t="s">
        <v>4438</v>
      </c>
      <c r="S102" s="5">
        <f>S101-6</f>
        <v>168</v>
      </c>
      <c r="T102" s="5" t="s">
        <v>4477</v>
      </c>
      <c r="U102" s="168">
        <v>184.5</v>
      </c>
      <c r="V102" s="99">
        <f t="shared" si="22"/>
        <v>210.34415342465755</v>
      </c>
      <c r="W102" s="32">
        <f t="shared" si="23"/>
        <v>214.55103649315069</v>
      </c>
      <c r="X102" s="32">
        <f t="shared" si="24"/>
        <v>218.75791956164386</v>
      </c>
      <c r="Y102" s="96">
        <v>0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5">
        <f>$L$107/G103</f>
        <v>6988.0205362236165</v>
      </c>
      <c r="G103" s="215">
        <f>P47</f>
        <v>701.2</v>
      </c>
      <c r="H103" s="215" t="s">
        <v>4695</v>
      </c>
      <c r="I103" s="215" t="s">
        <v>4694</v>
      </c>
      <c r="J103" s="32" t="s">
        <v>4410</v>
      </c>
      <c r="K103" s="215">
        <v>40</v>
      </c>
      <c r="L103" s="1">
        <f>K103*$L$107</f>
        <v>196000000</v>
      </c>
      <c r="M103" s="1">
        <f>N47+N23+N29</f>
        <v>187287014</v>
      </c>
      <c r="N103" s="113">
        <f t="shared" si="26"/>
        <v>8712986</v>
      </c>
      <c r="Q103" s="35">
        <v>1783234</v>
      </c>
      <c r="R103" s="5" t="s">
        <v>4440</v>
      </c>
      <c r="S103" s="5">
        <f>S102-2</f>
        <v>166</v>
      </c>
      <c r="T103" s="5" t="s">
        <v>4441</v>
      </c>
      <c r="U103" s="168">
        <v>177.5</v>
      </c>
      <c r="V103" s="99">
        <f t="shared" si="22"/>
        <v>202.09128767123289</v>
      </c>
      <c r="W103" s="32">
        <f t="shared" si="23"/>
        <v>206.13311342465755</v>
      </c>
      <c r="X103" s="32">
        <f t="shared" si="24"/>
        <v>210.17493917808221</v>
      </c>
      <c r="Y103" s="96">
        <v>10000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/>
      <c r="G104" s="200"/>
      <c r="H104" s="200"/>
      <c r="I104" s="200"/>
      <c r="J104" s="216" t="s">
        <v>4667</v>
      </c>
      <c r="K104" s="200">
        <v>1</v>
      </c>
      <c r="L104" s="217">
        <f>K104*$L$107</f>
        <v>4900000</v>
      </c>
      <c r="M104" s="217">
        <f>N44+N45</f>
        <v>903975</v>
      </c>
      <c r="N104" s="184">
        <f t="shared" si="26"/>
        <v>3996025</v>
      </c>
      <c r="Q104" s="35">
        <v>1662335</v>
      </c>
      <c r="R104" s="5" t="s">
        <v>4444</v>
      </c>
      <c r="S104" s="5">
        <f>S103-5</f>
        <v>161</v>
      </c>
      <c r="T104" s="220" t="s">
        <v>4594</v>
      </c>
      <c r="U104" s="168">
        <v>190.3</v>
      </c>
      <c r="V104" s="99">
        <f t="shared" si="22"/>
        <v>215.93471342465756</v>
      </c>
      <c r="W104" s="32">
        <f t="shared" si="23"/>
        <v>220.25340769315071</v>
      </c>
      <c r="X104" s="32">
        <f t="shared" si="24"/>
        <v>224.57210196164388</v>
      </c>
      <c r="Y104" s="96">
        <v>5664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5"/>
      <c r="G105" s="215"/>
      <c r="H105" s="215"/>
      <c r="I105" s="215"/>
      <c r="J105" s="32" t="s">
        <v>4797</v>
      </c>
      <c r="K105" s="215"/>
      <c r="L105" s="1"/>
      <c r="M105" s="1"/>
      <c r="N105" s="113">
        <v>50000000</v>
      </c>
      <c r="Q105" s="169">
        <v>499973</v>
      </c>
      <c r="R105" s="168" t="s">
        <v>4584</v>
      </c>
      <c r="S105" s="168">
        <f>S104-37</f>
        <v>124</v>
      </c>
      <c r="T105" s="73" t="s">
        <v>4585</v>
      </c>
      <c r="U105" s="168">
        <v>413</v>
      </c>
      <c r="V105" s="99">
        <f t="shared" si="22"/>
        <v>456.91151780821923</v>
      </c>
      <c r="W105" s="32">
        <f t="shared" si="23"/>
        <v>466.04974816438363</v>
      </c>
      <c r="X105" s="32">
        <f t="shared" si="24"/>
        <v>475.18797852054803</v>
      </c>
      <c r="Y105" s="96">
        <v>10000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/>
      <c r="G106" s="200"/>
      <c r="H106" s="200"/>
      <c r="I106" s="200"/>
      <c r="J106" s="216" t="s">
        <v>4921</v>
      </c>
      <c r="K106" s="200">
        <f>SUM(K100:K104)</f>
        <v>211</v>
      </c>
      <c r="L106" s="217"/>
      <c r="M106" s="217"/>
      <c r="N106" s="184"/>
      <c r="Q106" s="35">
        <v>2272487</v>
      </c>
      <c r="R106" s="5" t="s">
        <v>4604</v>
      </c>
      <c r="S106" s="5">
        <f>S105-5</f>
        <v>119</v>
      </c>
      <c r="T106" s="5" t="s">
        <v>4605</v>
      </c>
      <c r="U106" s="168">
        <v>174.9</v>
      </c>
      <c r="V106" s="99">
        <f t="shared" si="22"/>
        <v>192.82509369863016</v>
      </c>
      <c r="W106" s="32">
        <f t="shared" si="23"/>
        <v>196.68159557260276</v>
      </c>
      <c r="X106" s="32">
        <f t="shared" si="24"/>
        <v>200.53809744657536</v>
      </c>
      <c r="Y106" s="96">
        <v>8695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5"/>
      <c r="G107" s="215"/>
      <c r="H107" s="215" t="s">
        <v>25</v>
      </c>
      <c r="I107" s="215"/>
      <c r="J107" s="32"/>
      <c r="K107" s="215">
        <v>8</v>
      </c>
      <c r="L107" s="39">
        <f>10*P50</f>
        <v>4900000</v>
      </c>
      <c r="M107" s="1">
        <f>K107*L107</f>
        <v>39200000</v>
      </c>
      <c r="N107" s="113">
        <f>SUM(N100:N105)-M107</f>
        <v>-68505921.199999988</v>
      </c>
      <c r="Q107" s="35">
        <v>3975257</v>
      </c>
      <c r="R107" s="5" t="s">
        <v>4609</v>
      </c>
      <c r="S107" s="5">
        <f>S106-1</f>
        <v>118</v>
      </c>
      <c r="T107" s="5" t="s">
        <v>4610</v>
      </c>
      <c r="U107" s="168">
        <v>173</v>
      </c>
      <c r="V107" s="99">
        <f t="shared" si="22"/>
        <v>190.59765479452054</v>
      </c>
      <c r="W107" s="32">
        <f t="shared" si="23"/>
        <v>194.40960789041094</v>
      </c>
      <c r="X107" s="32">
        <f t="shared" si="24"/>
        <v>198.22156098630137</v>
      </c>
      <c r="Y107" s="96"/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6"/>
      <c r="K108" s="247" t="s">
        <v>4944</v>
      </c>
      <c r="L108" s="217" t="s">
        <v>4253</v>
      </c>
      <c r="M108" s="217" t="s">
        <v>4676</v>
      </c>
      <c r="N108" s="184" t="s">
        <v>4677</v>
      </c>
      <c r="Q108" s="35">
        <v>1031662</v>
      </c>
      <c r="R108" s="5" t="s">
        <v>4234</v>
      </c>
      <c r="S108" s="5">
        <f>S107-1</f>
        <v>117</v>
      </c>
      <c r="T108" s="5" t="s">
        <v>4613</v>
      </c>
      <c r="U108" s="168">
        <v>171.2</v>
      </c>
      <c r="V108" s="99">
        <f t="shared" si="22"/>
        <v>188.48322630136985</v>
      </c>
      <c r="W108" s="32">
        <f t="shared" si="23"/>
        <v>192.25289082739727</v>
      </c>
      <c r="X108" s="32">
        <f t="shared" si="24"/>
        <v>196.02255535342465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5"/>
      <c r="G109" s="215"/>
      <c r="H109" s="215"/>
      <c r="I109" s="215"/>
      <c r="J109" s="32" t="s">
        <v>4684</v>
      </c>
      <c r="K109" s="215"/>
      <c r="L109" s="1"/>
      <c r="M109" s="1"/>
      <c r="N109" s="113"/>
      <c r="Q109" s="35">
        <v>577500</v>
      </c>
      <c r="R109" s="5" t="s">
        <v>4234</v>
      </c>
      <c r="S109" s="5">
        <f>S108</f>
        <v>117</v>
      </c>
      <c r="T109" s="5" t="s">
        <v>4617</v>
      </c>
      <c r="U109" s="168">
        <v>175</v>
      </c>
      <c r="V109" s="99">
        <f t="shared" si="22"/>
        <v>192.6668493150685</v>
      </c>
      <c r="W109" s="32">
        <f t="shared" si="23"/>
        <v>196.52018630136988</v>
      </c>
      <c r="X109" s="32">
        <f t="shared" si="24"/>
        <v>200.37352328767125</v>
      </c>
      <c r="Y109" s="96"/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M110" t="s">
        <v>25</v>
      </c>
      <c r="Q110" s="35">
        <v>12636487</v>
      </c>
      <c r="R110" s="5" t="s">
        <v>3691</v>
      </c>
      <c r="S110" s="5">
        <f>S109-2</f>
        <v>115</v>
      </c>
      <c r="T110" s="5" t="s">
        <v>4620</v>
      </c>
      <c r="U110" s="168">
        <v>172.1</v>
      </c>
      <c r="V110" s="99">
        <f t="shared" si="22"/>
        <v>189.2100405479452</v>
      </c>
      <c r="W110" s="32">
        <f t="shared" si="23"/>
        <v>192.99424135890411</v>
      </c>
      <c r="X110" s="32">
        <f t="shared" si="24"/>
        <v>196.77844216986301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P111" s="114"/>
      <c r="Q111" s="169">
        <v>60508</v>
      </c>
      <c r="R111" s="168" t="s">
        <v>4623</v>
      </c>
      <c r="S111" s="168">
        <f>S110-3</f>
        <v>112</v>
      </c>
      <c r="T111" s="168" t="s">
        <v>4947</v>
      </c>
      <c r="U111" s="168">
        <v>1204.7</v>
      </c>
      <c r="V111" s="99">
        <f t="shared" si="22"/>
        <v>1321.6978235616439</v>
      </c>
      <c r="W111" s="32">
        <f t="shared" si="23"/>
        <v>1348.1317800328768</v>
      </c>
      <c r="X111" s="32">
        <f t="shared" si="24"/>
        <v>1374.5657365041097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 t="s">
        <v>4962</v>
      </c>
      <c r="G112" s="129" t="s">
        <v>4963</v>
      </c>
      <c r="H112" s="4" t="s">
        <v>4920</v>
      </c>
      <c r="I112" s="4" t="s">
        <v>4818</v>
      </c>
      <c r="J112" s="215" t="s">
        <v>4792</v>
      </c>
      <c r="K112" s="168" t="s">
        <v>4541</v>
      </c>
      <c r="L112" s="168" t="s">
        <v>4542</v>
      </c>
      <c r="M112" s="168" t="s">
        <v>4436</v>
      </c>
      <c r="N112" s="56" t="s">
        <v>190</v>
      </c>
      <c r="Q112" s="39">
        <v>11121445</v>
      </c>
      <c r="R112" s="5" t="s">
        <v>4623</v>
      </c>
      <c r="S112" s="5">
        <f>S111</f>
        <v>112</v>
      </c>
      <c r="T112" s="5" t="s">
        <v>4838</v>
      </c>
      <c r="U112" s="168">
        <v>171.8</v>
      </c>
      <c r="V112" s="99">
        <f t="shared" si="22"/>
        <v>188.48483945205481</v>
      </c>
      <c r="W112" s="32">
        <f t="shared" si="23"/>
        <v>192.25453624109591</v>
      </c>
      <c r="X112" s="32">
        <f t="shared" si="24"/>
        <v>196.02423303013703</v>
      </c>
      <c r="Y112">
        <v>13000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 t="s">
        <v>4363</v>
      </c>
      <c r="G113" s="215" t="s">
        <v>941</v>
      </c>
      <c r="H113" s="215" t="s">
        <v>4541</v>
      </c>
      <c r="I113" s="215" t="s">
        <v>937</v>
      </c>
      <c r="J113" s="215" t="s">
        <v>4793</v>
      </c>
      <c r="K113" s="168" t="s">
        <v>4243</v>
      </c>
      <c r="L113" s="169">
        <v>1100000</v>
      </c>
      <c r="M113" s="169">
        <v>1637000</v>
      </c>
      <c r="N113" s="168">
        <f t="shared" ref="N113:N121" si="27">(M113-L113)*100/L113</f>
        <v>48.81818181818182</v>
      </c>
      <c r="Q113" s="35">
        <v>8978273</v>
      </c>
      <c r="R113" s="5" t="s">
        <v>4627</v>
      </c>
      <c r="S113" s="5">
        <f>S112-1</f>
        <v>111</v>
      </c>
      <c r="T113" s="5" t="s">
        <v>4628</v>
      </c>
      <c r="U113" s="168">
        <v>3405.9</v>
      </c>
      <c r="V113" s="99">
        <f t="shared" si="22"/>
        <v>3734.0607978082198</v>
      </c>
      <c r="W113" s="32">
        <f t="shared" ref="W113:W158" si="28">V113*(1+$W$19/100)</f>
        <v>3808.7420137643844</v>
      </c>
      <c r="X113" s="32">
        <f t="shared" ref="X113:X158" si="29">V113*(1+$X$19/100)</f>
        <v>3883.4232297205485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1">
        <v>3307.5</v>
      </c>
      <c r="G114" s="1">
        <f>P43</f>
        <v>3919.5</v>
      </c>
      <c r="H114" s="215" t="s">
        <v>4391</v>
      </c>
      <c r="I114" s="215">
        <v>3761</v>
      </c>
      <c r="J114" s="1">
        <f>I114*G114</f>
        <v>14741239.5</v>
      </c>
      <c r="K114" s="5" t="s">
        <v>4536</v>
      </c>
      <c r="L114" s="169">
        <v>1100000</v>
      </c>
      <c r="M114" s="169">
        <v>4748000</v>
      </c>
      <c r="N114" s="168">
        <f t="shared" si="27"/>
        <v>331.63636363636363</v>
      </c>
      <c r="Q114" s="35">
        <v>4068640</v>
      </c>
      <c r="R114" s="5" t="s">
        <v>4633</v>
      </c>
      <c r="S114" s="5">
        <f>S113-1</f>
        <v>110</v>
      </c>
      <c r="T114" s="5" t="s">
        <v>4634</v>
      </c>
      <c r="U114" s="168">
        <v>3322.3</v>
      </c>
      <c r="V114" s="99">
        <f t="shared" si="22"/>
        <v>3639.8572668493152</v>
      </c>
      <c r="W114" s="32">
        <f t="shared" si="28"/>
        <v>3712.6544121863017</v>
      </c>
      <c r="X114" s="32">
        <f t="shared" si="29"/>
        <v>3785.4515575232881</v>
      </c>
      <c r="Y114" t="s">
        <v>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F115" s="1">
        <v>5249.5</v>
      </c>
      <c r="G115" s="1">
        <f>P46</f>
        <v>4851.6000000000004</v>
      </c>
      <c r="H115" s="215" t="s">
        <v>4395</v>
      </c>
      <c r="I115" s="215">
        <v>7163</v>
      </c>
      <c r="J115" s="1">
        <f>I115*G115</f>
        <v>34752010.800000004</v>
      </c>
      <c r="K115" s="5" t="s">
        <v>4537</v>
      </c>
      <c r="L115" s="169">
        <v>1100000</v>
      </c>
      <c r="M115" s="169">
        <v>5137000</v>
      </c>
      <c r="N115" s="168">
        <f t="shared" si="27"/>
        <v>367</v>
      </c>
      <c r="P115" s="114"/>
      <c r="Q115" s="35">
        <v>12656982</v>
      </c>
      <c r="R115" s="5" t="s">
        <v>4633</v>
      </c>
      <c r="S115" s="5">
        <f>S114</f>
        <v>110</v>
      </c>
      <c r="T115" s="5" t="s">
        <v>4635</v>
      </c>
      <c r="U115" s="168">
        <v>5249.9</v>
      </c>
      <c r="V115" s="99">
        <f t="shared" si="22"/>
        <v>5751.7041402739724</v>
      </c>
      <c r="W115" s="32">
        <f t="shared" si="28"/>
        <v>5866.7382230794519</v>
      </c>
      <c r="X115" s="32">
        <f t="shared" si="29"/>
        <v>5981.7723058849315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</row>
    <row r="116" spans="6:46">
      <c r="F116" s="1">
        <v>519.79999999999995</v>
      </c>
      <c r="G116" s="1">
        <f>P47</f>
        <v>701.2</v>
      </c>
      <c r="H116" s="215" t="s">
        <v>4410</v>
      </c>
      <c r="I116" s="215">
        <v>0</v>
      </c>
      <c r="J116" s="1">
        <f>I116*G116</f>
        <v>0</v>
      </c>
      <c r="K116" s="19" t="s">
        <v>4391</v>
      </c>
      <c r="L116" s="169">
        <v>1100000</v>
      </c>
      <c r="M116" s="169">
        <v>4300000</v>
      </c>
      <c r="N116" s="168">
        <f t="shared" si="27"/>
        <v>290.90909090909093</v>
      </c>
      <c r="Q116" s="169">
        <v>100905</v>
      </c>
      <c r="R116" s="168" t="s">
        <v>4636</v>
      </c>
      <c r="S116" s="168">
        <f>S115-1</f>
        <v>109</v>
      </c>
      <c r="T116" s="168" t="s">
        <v>4642</v>
      </c>
      <c r="U116" s="168">
        <v>372</v>
      </c>
      <c r="V116" s="99">
        <f t="shared" si="22"/>
        <v>407.27171506849317</v>
      </c>
      <c r="W116" s="32">
        <f t="shared" si="28"/>
        <v>415.41714936986301</v>
      </c>
      <c r="X116" s="32">
        <f t="shared" si="29"/>
        <v>423.56258367123291</v>
      </c>
      <c r="Y116">
        <v>23000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F117" s="1">
        <v>4051</v>
      </c>
      <c r="G117" s="1">
        <f>P48</f>
        <v>5127.6000000000004</v>
      </c>
      <c r="H117" s="215" t="s">
        <v>4538</v>
      </c>
      <c r="I117" s="215">
        <v>130</v>
      </c>
      <c r="J117" s="1">
        <f>I117*G117</f>
        <v>666588</v>
      </c>
      <c r="K117" s="5" t="s">
        <v>4410</v>
      </c>
      <c r="L117" s="169">
        <v>1100000</v>
      </c>
      <c r="M117" s="169">
        <v>3191000</v>
      </c>
      <c r="N117" s="168">
        <f t="shared" si="27"/>
        <v>190.09090909090909</v>
      </c>
      <c r="Q117" s="35">
        <v>48637534</v>
      </c>
      <c r="R117" s="5" t="s">
        <v>4636</v>
      </c>
      <c r="S117" s="5">
        <f>S116</f>
        <v>109</v>
      </c>
      <c r="T117" s="5" t="s">
        <v>4640</v>
      </c>
      <c r="U117" s="168">
        <v>5330</v>
      </c>
      <c r="V117" s="99">
        <f t="shared" si="22"/>
        <v>5835.3716164383568</v>
      </c>
      <c r="W117" s="32">
        <f t="shared" si="28"/>
        <v>5952.0790487671238</v>
      </c>
      <c r="X117" s="32">
        <f t="shared" si="29"/>
        <v>6068.7864810958908</v>
      </c>
      <c r="Y117">
        <v>6000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1">
        <f>SUM(J114:J117)</f>
        <v>50159838.300000004</v>
      </c>
      <c r="K118" s="5" t="s">
        <v>4538</v>
      </c>
      <c r="L118" s="169">
        <v>1100000</v>
      </c>
      <c r="M118" s="169">
        <v>5623000</v>
      </c>
      <c r="N118" s="168">
        <f t="shared" si="27"/>
        <v>411.18181818181819</v>
      </c>
      <c r="Q118" s="35">
        <v>40048573</v>
      </c>
      <c r="R118" s="5" t="s">
        <v>4636</v>
      </c>
      <c r="S118" s="5">
        <f>S117</f>
        <v>109</v>
      </c>
      <c r="T118" s="5" t="s">
        <v>4641</v>
      </c>
      <c r="U118" s="168">
        <v>498.9</v>
      </c>
      <c r="V118" s="99">
        <f t="shared" si="22"/>
        <v>546.20392109589045</v>
      </c>
      <c r="W118" s="32">
        <f t="shared" si="28"/>
        <v>557.12799951780823</v>
      </c>
      <c r="X118" s="32">
        <f t="shared" si="29"/>
        <v>568.05207793972613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/>
      <c r="I119" s="215"/>
      <c r="J119" s="215" t="s">
        <v>6</v>
      </c>
      <c r="K119" s="19" t="s">
        <v>4395</v>
      </c>
      <c r="L119" s="169">
        <v>1100000</v>
      </c>
      <c r="M119" s="169">
        <v>7728000</v>
      </c>
      <c r="N119" s="168">
        <f t="shared" si="27"/>
        <v>602.5454545454545</v>
      </c>
      <c r="Q119" s="35">
        <v>37856769</v>
      </c>
      <c r="R119" s="5" t="s">
        <v>4652</v>
      </c>
      <c r="S119" s="5">
        <f>S118-1</f>
        <v>108</v>
      </c>
      <c r="T119" s="5" t="s">
        <v>4654</v>
      </c>
      <c r="U119" s="168">
        <v>5393.6</v>
      </c>
      <c r="V119" s="99">
        <f t="shared" si="22"/>
        <v>5900.8643857534262</v>
      </c>
      <c r="W119" s="32">
        <f t="shared" si="28"/>
        <v>6018.8816734684951</v>
      </c>
      <c r="X119" s="32">
        <f t="shared" si="29"/>
        <v>6136.8989611835632</v>
      </c>
      <c r="Y119">
        <v>3300</v>
      </c>
      <c r="AH119" s="99">
        <v>99</v>
      </c>
      <c r="AI119" s="113" t="s">
        <v>4618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</row>
    <row r="120" spans="6:46">
      <c r="K120" s="5" t="s">
        <v>4540</v>
      </c>
      <c r="L120" s="169">
        <v>1100000</v>
      </c>
      <c r="M120" s="169">
        <v>2904000</v>
      </c>
      <c r="N120" s="168">
        <f t="shared" si="27"/>
        <v>164</v>
      </c>
      <c r="P120" s="114"/>
      <c r="Q120" s="35">
        <v>155151</v>
      </c>
      <c r="R120" s="5" t="s">
        <v>4663</v>
      </c>
      <c r="S120" s="5">
        <f>S119-3</f>
        <v>105</v>
      </c>
      <c r="T120" s="5" t="s">
        <v>4665</v>
      </c>
      <c r="U120" s="168">
        <v>5325.9</v>
      </c>
      <c r="V120" s="99">
        <f t="shared" si="22"/>
        <v>5814.5403813698631</v>
      </c>
      <c r="W120" s="32">
        <f t="shared" si="28"/>
        <v>5930.8311889972601</v>
      </c>
      <c r="X120" s="32">
        <f t="shared" si="29"/>
        <v>6047.1219966246581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K121" s="56" t="s">
        <v>1086</v>
      </c>
      <c r="L121" s="169">
        <v>1100000</v>
      </c>
      <c r="M121" s="169">
        <v>3400000</v>
      </c>
      <c r="N121" s="168">
        <f t="shared" si="27"/>
        <v>209.09090909090909</v>
      </c>
      <c r="Q121" s="35">
        <v>8938737</v>
      </c>
      <c r="R121" s="5" t="s">
        <v>4668</v>
      </c>
      <c r="S121" s="5">
        <f>S120-1</f>
        <v>104</v>
      </c>
      <c r="T121" s="5" t="s">
        <v>4670</v>
      </c>
      <c r="U121" s="168">
        <v>5179.5</v>
      </c>
      <c r="V121" s="99">
        <f t="shared" si="22"/>
        <v>5650.7351671232882</v>
      </c>
      <c r="W121" s="32">
        <f t="shared" si="28"/>
        <v>5763.7498704657537</v>
      </c>
      <c r="X121" s="32">
        <f t="shared" si="29"/>
        <v>5876.7645738082201</v>
      </c>
      <c r="AH121" s="99">
        <v>101</v>
      </c>
      <c r="AI121" s="113" t="s">
        <v>4623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215" t="s">
        <v>4930</v>
      </c>
      <c r="K122" s="245" t="s">
        <v>4569</v>
      </c>
      <c r="Q122" s="35">
        <v>2595417</v>
      </c>
      <c r="R122" s="5" t="s">
        <v>4678</v>
      </c>
      <c r="S122" s="5">
        <f>S121-1</f>
        <v>103</v>
      </c>
      <c r="T122" s="5" t="s">
        <v>4679</v>
      </c>
      <c r="U122" s="168">
        <v>4803</v>
      </c>
      <c r="V122" s="99">
        <f t="shared" si="22"/>
        <v>5236.2963945205493</v>
      </c>
      <c r="W122" s="32">
        <f t="shared" si="28"/>
        <v>5341.0223224109604</v>
      </c>
      <c r="X122" s="32">
        <f t="shared" si="29"/>
        <v>5445.7482503013716</v>
      </c>
      <c r="Y122" t="s">
        <v>25</v>
      </c>
      <c r="AH122" s="121">
        <v>102</v>
      </c>
      <c r="AI122" s="79" t="s">
        <v>4623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4624</v>
      </c>
    </row>
    <row r="123" spans="6:46">
      <c r="F123" s="215" t="s">
        <v>4363</v>
      </c>
      <c r="G123" s="215" t="s">
        <v>941</v>
      </c>
      <c r="H123" s="215" t="s">
        <v>4541</v>
      </c>
      <c r="I123" s="215" t="s">
        <v>937</v>
      </c>
      <c r="J123" s="215" t="s">
        <v>4793</v>
      </c>
      <c r="K123" s="245" t="s">
        <v>4570</v>
      </c>
      <c r="Q123" s="169">
        <v>183283</v>
      </c>
      <c r="R123" s="212" t="s">
        <v>4681</v>
      </c>
      <c r="S123" s="212">
        <f>S122-1</f>
        <v>102</v>
      </c>
      <c r="T123" s="212" t="s">
        <v>4690</v>
      </c>
      <c r="U123" s="212">
        <v>347.5</v>
      </c>
      <c r="V123" s="99">
        <f t="shared" si="22"/>
        <v>378.58268493150689</v>
      </c>
      <c r="W123" s="32">
        <f t="shared" si="28"/>
        <v>386.15433863013703</v>
      </c>
      <c r="X123" s="32">
        <f t="shared" si="29"/>
        <v>393.72599232876718</v>
      </c>
      <c r="Y123" t="s">
        <v>25</v>
      </c>
      <c r="AH123" s="89">
        <v>103</v>
      </c>
      <c r="AI123" s="90" t="s">
        <v>4627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4637</v>
      </c>
    </row>
    <row r="124" spans="6:46">
      <c r="F124" s="1">
        <v>3775.1</v>
      </c>
      <c r="G124" s="1">
        <f>P43</f>
        <v>3919.5</v>
      </c>
      <c r="H124" s="215" t="s">
        <v>4391</v>
      </c>
      <c r="I124" s="215">
        <v>1000</v>
      </c>
      <c r="J124" s="1">
        <f>I124*G124</f>
        <v>3919500</v>
      </c>
      <c r="K124" s="245" t="s">
        <v>4571</v>
      </c>
      <c r="Q124" s="35">
        <v>559461</v>
      </c>
      <c r="R124" s="5" t="s">
        <v>4681</v>
      </c>
      <c r="S124" s="5">
        <f>S123</f>
        <v>102</v>
      </c>
      <c r="T124" s="5" t="s">
        <v>4688</v>
      </c>
      <c r="U124" s="212">
        <v>508.1</v>
      </c>
      <c r="V124" s="99">
        <f t="shared" ref="V124:V155" si="32">U124*(1+$N$81+$Q$15*S124/36500)</f>
        <v>553.5478049315069</v>
      </c>
      <c r="W124" s="32">
        <f t="shared" si="28"/>
        <v>564.61876103013708</v>
      </c>
      <c r="X124" s="32">
        <f t="shared" si="29"/>
        <v>575.68971712876714</v>
      </c>
      <c r="Y124" s="122" t="s">
        <v>25</v>
      </c>
      <c r="AH124" s="99">
        <v>104</v>
      </c>
      <c r="AI124" s="113" t="s">
        <v>4627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4638</v>
      </c>
      <c r="AQ124" t="s">
        <v>25</v>
      </c>
    </row>
    <row r="125" spans="6:46">
      <c r="F125" s="1">
        <v>6250.1</v>
      </c>
      <c r="G125" s="1">
        <f>P46</f>
        <v>4851.6000000000004</v>
      </c>
      <c r="H125" s="215" t="s">
        <v>4931</v>
      </c>
      <c r="I125" s="215">
        <v>1000</v>
      </c>
      <c r="J125" s="1">
        <f t="shared" ref="J125:J127" si="33">I125*G125</f>
        <v>4851600</v>
      </c>
      <c r="P125" s="114"/>
      <c r="Q125" s="35">
        <v>9376000</v>
      </c>
      <c r="R125" s="5" t="s">
        <v>4681</v>
      </c>
      <c r="S125" s="5">
        <f>S124</f>
        <v>102</v>
      </c>
      <c r="T125" s="5" t="s">
        <v>4689</v>
      </c>
      <c r="U125" s="212">
        <v>3184.1</v>
      </c>
      <c r="V125" s="99">
        <f t="shared" si="32"/>
        <v>3468.9068405479452</v>
      </c>
      <c r="W125" s="32">
        <f t="shared" si="28"/>
        <v>3538.2849773589041</v>
      </c>
      <c r="X125" s="32">
        <f t="shared" si="29"/>
        <v>3607.6631141698631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4639</v>
      </c>
      <c r="AP125" t="s">
        <v>25</v>
      </c>
    </row>
    <row r="126" spans="6:46">
      <c r="F126" s="1">
        <v>183</v>
      </c>
      <c r="G126" s="1">
        <f>P49</f>
        <v>192.2</v>
      </c>
      <c r="H126" s="215" t="s">
        <v>4243</v>
      </c>
      <c r="I126" s="215">
        <v>108344</v>
      </c>
      <c r="J126" s="1">
        <f t="shared" si="33"/>
        <v>20823716.799999997</v>
      </c>
      <c r="Q126" s="35">
        <v>13100555</v>
      </c>
      <c r="R126" s="5" t="s">
        <v>4697</v>
      </c>
      <c r="S126" s="5">
        <f>S125-1</f>
        <v>101</v>
      </c>
      <c r="T126" s="5" t="s">
        <v>4698</v>
      </c>
      <c r="U126" s="212">
        <v>3180.5</v>
      </c>
      <c r="V126" s="99">
        <f t="shared" si="32"/>
        <v>3462.5449972602746</v>
      </c>
      <c r="W126" s="32">
        <f t="shared" si="28"/>
        <v>3531.7958972054803</v>
      </c>
      <c r="X126" s="32">
        <f t="shared" si="29"/>
        <v>3601.0467971506855</v>
      </c>
      <c r="Y126" t="s">
        <v>25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4485.1000000000004</v>
      </c>
      <c r="G127" s="1">
        <f>P48</f>
        <v>5127.6000000000004</v>
      </c>
      <c r="H127" s="215" t="s">
        <v>4538</v>
      </c>
      <c r="I127" s="215">
        <v>3</v>
      </c>
      <c r="J127" s="1">
        <f t="shared" si="33"/>
        <v>15382.800000000001</v>
      </c>
      <c r="Q127" s="35">
        <v>622942</v>
      </c>
      <c r="R127" s="5" t="s">
        <v>4697</v>
      </c>
      <c r="S127" s="5">
        <f>S126</f>
        <v>101</v>
      </c>
      <c r="T127" s="5" t="s">
        <v>4699</v>
      </c>
      <c r="U127" s="212">
        <v>503.3</v>
      </c>
      <c r="V127" s="99">
        <f t="shared" si="32"/>
        <v>547.93236821917822</v>
      </c>
      <c r="W127" s="32">
        <f t="shared" si="28"/>
        <v>558.89101558356174</v>
      </c>
      <c r="X127" s="32">
        <f t="shared" si="29"/>
        <v>569.84966294794538</v>
      </c>
      <c r="AH127" s="149">
        <v>107</v>
      </c>
      <c r="AI127" s="189" t="s">
        <v>4636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4647</v>
      </c>
    </row>
    <row r="128" spans="6:46">
      <c r="F128" s="215"/>
      <c r="G128" s="215"/>
      <c r="H128" s="215"/>
      <c r="I128" s="215"/>
      <c r="J128" s="1">
        <f>SUM(J124:J127)</f>
        <v>29610199.599999998</v>
      </c>
      <c r="Q128" s="35">
        <v>1472140</v>
      </c>
      <c r="R128" s="5" t="s">
        <v>4704</v>
      </c>
      <c r="S128" s="5">
        <f>S127-3</f>
        <v>98</v>
      </c>
      <c r="T128" s="5" t="s">
        <v>4707</v>
      </c>
      <c r="U128" s="168">
        <v>502</v>
      </c>
      <c r="V128" s="99">
        <f t="shared" si="32"/>
        <v>545.3617972602741</v>
      </c>
      <c r="W128" s="32">
        <f t="shared" si="28"/>
        <v>556.26903320547956</v>
      </c>
      <c r="X128" s="32">
        <f t="shared" si="29"/>
        <v>567.17626915068513</v>
      </c>
      <c r="AH128" s="89">
        <v>108</v>
      </c>
      <c r="AI128" s="90" t="s">
        <v>4636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4648</v>
      </c>
    </row>
    <row r="129" spans="6:44">
      <c r="F129" s="215"/>
      <c r="G129" s="215"/>
      <c r="H129" s="215"/>
      <c r="I129" s="215"/>
      <c r="J129" s="215" t="s">
        <v>6</v>
      </c>
      <c r="Q129" s="35">
        <v>4394591</v>
      </c>
      <c r="R129" s="5" t="s">
        <v>4709</v>
      </c>
      <c r="S129" s="5">
        <f>S128-1</f>
        <v>97</v>
      </c>
      <c r="T129" s="5" t="s">
        <v>4710</v>
      </c>
      <c r="U129" s="168">
        <v>481.7</v>
      </c>
      <c r="V129" s="99">
        <f t="shared" si="32"/>
        <v>522.9387989041096</v>
      </c>
      <c r="W129" s="32">
        <f t="shared" si="28"/>
        <v>533.39757488219186</v>
      </c>
      <c r="X129" s="32">
        <f t="shared" si="29"/>
        <v>543.85635086027401</v>
      </c>
      <c r="Y129" t="s">
        <v>25</v>
      </c>
      <c r="AH129" s="89">
        <v>109</v>
      </c>
      <c r="AI129" s="90" t="s">
        <v>4663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4666</v>
      </c>
      <c r="AQ129" t="s">
        <v>25</v>
      </c>
    </row>
    <row r="130" spans="6:44">
      <c r="M130">
        <v>236</v>
      </c>
      <c r="N130">
        <v>3</v>
      </c>
      <c r="Q130" s="117">
        <v>4085110</v>
      </c>
      <c r="R130" s="19" t="s">
        <v>4712</v>
      </c>
      <c r="S130" s="19">
        <f>S129-1</f>
        <v>96</v>
      </c>
      <c r="T130" s="19" t="s">
        <v>4713</v>
      </c>
      <c r="U130" s="215">
        <v>3115.9</v>
      </c>
      <c r="V130" s="99">
        <f t="shared" si="32"/>
        <v>3380.2649073972607</v>
      </c>
      <c r="W130" s="32">
        <f t="shared" si="28"/>
        <v>3447.8702055452059</v>
      </c>
      <c r="X130" s="32">
        <f t="shared" si="29"/>
        <v>3515.475503693151</v>
      </c>
      <c r="Z130" t="s">
        <v>25</v>
      </c>
      <c r="AH130" s="99">
        <v>110</v>
      </c>
      <c r="AI130" s="113" t="s">
        <v>4668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4669</v>
      </c>
    </row>
    <row r="131" spans="6:44">
      <c r="M131">
        <v>126</v>
      </c>
      <c r="N131">
        <v>1</v>
      </c>
      <c r="Q131" s="117">
        <v>8398607</v>
      </c>
      <c r="R131" s="19" t="s">
        <v>4723</v>
      </c>
      <c r="S131" s="19">
        <f>S130-8</f>
        <v>88</v>
      </c>
      <c r="T131" s="19" t="s">
        <v>4725</v>
      </c>
      <c r="U131" s="215">
        <v>3120.5</v>
      </c>
      <c r="V131" s="99">
        <f t="shared" si="32"/>
        <v>3366.1047232876717</v>
      </c>
      <c r="W131" s="32">
        <f t="shared" si="28"/>
        <v>3433.4268177534254</v>
      </c>
      <c r="X131" s="32">
        <f t="shared" si="29"/>
        <v>3500.7489122191787</v>
      </c>
      <c r="Y131" t="s">
        <v>25</v>
      </c>
      <c r="AH131" s="20">
        <v>111</v>
      </c>
      <c r="AI131" s="117" t="s">
        <v>4678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L132">
        <v>821</v>
      </c>
      <c r="M132">
        <v>590</v>
      </c>
      <c r="N132">
        <v>0</v>
      </c>
      <c r="Q132" s="117">
        <v>18565999</v>
      </c>
      <c r="R132" s="19" t="s">
        <v>4726</v>
      </c>
      <c r="S132" s="19">
        <f>S131-1</f>
        <v>87</v>
      </c>
      <c r="T132" s="19" t="s">
        <v>4734</v>
      </c>
      <c r="U132" s="215">
        <v>3112.4</v>
      </c>
      <c r="V132" s="99">
        <f t="shared" si="32"/>
        <v>3354.9796032876716</v>
      </c>
      <c r="W132" s="32">
        <f t="shared" si="28"/>
        <v>3422.0791953534249</v>
      </c>
      <c r="X132" s="32">
        <f t="shared" si="29"/>
        <v>3489.1787874191787</v>
      </c>
      <c r="AH132" s="89">
        <v>112</v>
      </c>
      <c r="AI132" s="90" t="s">
        <v>4678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4682</v>
      </c>
      <c r="AQ132" t="s">
        <v>25</v>
      </c>
    </row>
    <row r="133" spans="6:44">
      <c r="Q133" s="117">
        <v>5924703</v>
      </c>
      <c r="R133" s="19" t="s">
        <v>4736</v>
      </c>
      <c r="S133" s="19">
        <f>S132-3</f>
        <v>84</v>
      </c>
      <c r="T133" s="19" t="s">
        <v>4827</v>
      </c>
      <c r="U133" s="215">
        <v>489</v>
      </c>
      <c r="V133" s="99">
        <f t="shared" si="32"/>
        <v>525.98715616438358</v>
      </c>
      <c r="W133" s="32">
        <f t="shared" si="28"/>
        <v>536.50689928767122</v>
      </c>
      <c r="X133" s="32">
        <f t="shared" si="29"/>
        <v>547.02664241095897</v>
      </c>
      <c r="AH133" s="20">
        <v>113</v>
      </c>
      <c r="AI133" s="117" t="s">
        <v>4681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J134" t="s">
        <v>25</v>
      </c>
      <c r="O134">
        <f>M130*N130</f>
        <v>708</v>
      </c>
      <c r="Q134" s="117">
        <v>164801</v>
      </c>
      <c r="R134" s="19" t="s">
        <v>4749</v>
      </c>
      <c r="S134" s="19">
        <f>S133-2</f>
        <v>82</v>
      </c>
      <c r="T134" s="19" t="s">
        <v>4753</v>
      </c>
      <c r="U134" s="215">
        <v>3095.1</v>
      </c>
      <c r="V134" s="99">
        <f t="shared" si="32"/>
        <v>3324.459629589041</v>
      </c>
      <c r="W134" s="32">
        <f t="shared" si="28"/>
        <v>3390.9488221808219</v>
      </c>
      <c r="X134" s="32">
        <f t="shared" si="29"/>
        <v>3457.4380147726029</v>
      </c>
      <c r="AH134" s="89">
        <v>114</v>
      </c>
      <c r="AI134" s="90" t="s">
        <v>4681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4682</v>
      </c>
    </row>
    <row r="135" spans="6:44">
      <c r="O135">
        <f>M131*N131</f>
        <v>126</v>
      </c>
      <c r="Q135" s="117">
        <v>5001091</v>
      </c>
      <c r="R135" s="19" t="s">
        <v>4756</v>
      </c>
      <c r="S135" s="19">
        <f>S134-1</f>
        <v>81</v>
      </c>
      <c r="T135" s="19" t="s">
        <v>4757</v>
      </c>
      <c r="U135" s="215">
        <v>3125</v>
      </c>
      <c r="V135" s="99">
        <f t="shared" si="32"/>
        <v>3354.178082191781</v>
      </c>
      <c r="W135" s="32">
        <f t="shared" si="28"/>
        <v>3421.2616438356167</v>
      </c>
      <c r="X135" s="32">
        <f t="shared" si="29"/>
        <v>3488.3452054794525</v>
      </c>
      <c r="AH135" s="20">
        <v>115</v>
      </c>
      <c r="AI135" s="117" t="s">
        <v>4681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4691</v>
      </c>
    </row>
    <row r="136" spans="6:44">
      <c r="O136" s="96">
        <f>M132*N132</f>
        <v>0</v>
      </c>
      <c r="Q136" s="117">
        <v>12497226</v>
      </c>
      <c r="R136" s="19" t="s">
        <v>4791</v>
      </c>
      <c r="S136" s="19">
        <f>S135-7</f>
        <v>74</v>
      </c>
      <c r="T136" s="19" t="s">
        <v>4795</v>
      </c>
      <c r="U136" s="215">
        <v>3307.5</v>
      </c>
      <c r="V136" s="99">
        <f t="shared" si="32"/>
        <v>3532.3012602739727</v>
      </c>
      <c r="W136" s="32">
        <f t="shared" si="28"/>
        <v>3602.9472854794521</v>
      </c>
      <c r="X136" s="32">
        <f t="shared" si="29"/>
        <v>3673.5933106849316</v>
      </c>
      <c r="AH136" s="89">
        <v>116</v>
      </c>
      <c r="AI136" s="90" t="s">
        <v>4709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4711</v>
      </c>
    </row>
    <row r="137" spans="6:44">
      <c r="Q137" s="117">
        <v>24695044</v>
      </c>
      <c r="R137" s="19" t="s">
        <v>4791</v>
      </c>
      <c r="S137" s="19">
        <f>S136</f>
        <v>74</v>
      </c>
      <c r="T137" s="19" t="s">
        <v>4796</v>
      </c>
      <c r="U137" s="215">
        <v>5249.5</v>
      </c>
      <c r="V137" s="99">
        <f t="shared" si="32"/>
        <v>5606.2934136986305</v>
      </c>
      <c r="W137" s="32">
        <f t="shared" si="28"/>
        <v>5718.4192819726031</v>
      </c>
      <c r="X137" s="32">
        <f t="shared" si="29"/>
        <v>5830.5451502465758</v>
      </c>
      <c r="Z137" t="s">
        <v>25</v>
      </c>
      <c r="AH137" s="20">
        <v>117</v>
      </c>
      <c r="AI137" s="117" t="s">
        <v>4714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O138">
        <f>O134+O135+O136</f>
        <v>834</v>
      </c>
      <c r="Q138" s="117">
        <v>5416530</v>
      </c>
      <c r="R138" s="19" t="s">
        <v>4802</v>
      </c>
      <c r="S138" s="19">
        <f>S137-1</f>
        <v>73</v>
      </c>
      <c r="T138" s="19" t="s">
        <v>4860</v>
      </c>
      <c r="U138" s="215">
        <v>5235</v>
      </c>
      <c r="V138" s="99">
        <f t="shared" si="32"/>
        <v>5586.7920000000004</v>
      </c>
      <c r="W138" s="32">
        <f t="shared" si="28"/>
        <v>5698.5278400000007</v>
      </c>
      <c r="X138" s="32">
        <f t="shared" si="29"/>
        <v>5810.2636800000009</v>
      </c>
      <c r="AH138" s="121">
        <v>118</v>
      </c>
      <c r="AI138" s="79" t="s">
        <v>4722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4666</v>
      </c>
    </row>
    <row r="139" spans="6:44">
      <c r="Q139" s="117">
        <v>153812</v>
      </c>
      <c r="R139" s="19" t="s">
        <v>4833</v>
      </c>
      <c r="S139" s="19">
        <f>S138-6</f>
        <v>67</v>
      </c>
      <c r="T139" s="19" t="s">
        <v>4834</v>
      </c>
      <c r="U139" s="215">
        <v>537.20000000000005</v>
      </c>
      <c r="V139" s="99">
        <f t="shared" si="32"/>
        <v>570.82724821917816</v>
      </c>
      <c r="W139" s="32">
        <f t="shared" si="28"/>
        <v>582.24379318356171</v>
      </c>
      <c r="X139" s="32">
        <f t="shared" si="29"/>
        <v>593.66033814794525</v>
      </c>
      <c r="AH139" s="121">
        <v>119</v>
      </c>
      <c r="AI139" s="79" t="s">
        <v>4723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4727</v>
      </c>
    </row>
    <row r="140" spans="6:44">
      <c r="Q140" s="117">
        <v>10926171</v>
      </c>
      <c r="R140" s="19" t="s">
        <v>4862</v>
      </c>
      <c r="S140" s="19">
        <f>S139-6</f>
        <v>61</v>
      </c>
      <c r="T140" s="19" t="s">
        <v>4864</v>
      </c>
      <c r="U140" s="215">
        <v>5355.4</v>
      </c>
      <c r="V140" s="99">
        <f t="shared" si="32"/>
        <v>5665.9838553424661</v>
      </c>
      <c r="W140" s="32">
        <f t="shared" si="28"/>
        <v>5779.3035324493158</v>
      </c>
      <c r="X140" s="32">
        <f t="shared" si="29"/>
        <v>5892.6232095561645</v>
      </c>
      <c r="AH140" s="121">
        <v>120</v>
      </c>
      <c r="AI140" s="79" t="s">
        <v>4726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4682</v>
      </c>
    </row>
    <row r="141" spans="6:44">
      <c r="Q141" s="169">
        <v>2148718</v>
      </c>
      <c r="R141" s="215" t="s">
        <v>4884</v>
      </c>
      <c r="S141" s="215">
        <f>S140-6</f>
        <v>55</v>
      </c>
      <c r="T141" s="215" t="s">
        <v>4887</v>
      </c>
      <c r="U141" s="215">
        <v>3400.3</v>
      </c>
      <c r="V141" s="99">
        <f t="shared" si="32"/>
        <v>3581.848072328768</v>
      </c>
      <c r="W141" s="32">
        <f t="shared" si="28"/>
        <v>3653.4850337753433</v>
      </c>
      <c r="X141" s="32">
        <f t="shared" si="29"/>
        <v>3725.121995221919</v>
      </c>
      <c r="Y141" t="s">
        <v>25</v>
      </c>
      <c r="AA141" t="s">
        <v>25</v>
      </c>
      <c r="AH141" s="161">
        <v>121</v>
      </c>
      <c r="AI141" s="230" t="s">
        <v>4791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4794</v>
      </c>
      <c r="AP141" t="s">
        <v>25</v>
      </c>
    </row>
    <row r="142" spans="6:44">
      <c r="Q142" s="169">
        <v>119669</v>
      </c>
      <c r="R142" s="215" t="s">
        <v>981</v>
      </c>
      <c r="S142" s="215">
        <f>S141-2</f>
        <v>53</v>
      </c>
      <c r="T142" s="215" t="s">
        <v>4903</v>
      </c>
      <c r="U142" s="215">
        <v>3609.6</v>
      </c>
      <c r="V142" s="99">
        <f t="shared" si="32"/>
        <v>3796.7849556164388</v>
      </c>
      <c r="W142" s="32">
        <f t="shared" si="28"/>
        <v>3872.7206547287674</v>
      </c>
      <c r="X142" s="32">
        <f t="shared" si="29"/>
        <v>3948.6563538410965</v>
      </c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P143" s="114"/>
      <c r="Q143" s="169">
        <v>17086367</v>
      </c>
      <c r="R143" s="215" t="s">
        <v>4933</v>
      </c>
      <c r="S143" s="215">
        <f>S142-19</f>
        <v>34</v>
      </c>
      <c r="T143" s="215" t="s">
        <v>4941</v>
      </c>
      <c r="U143" s="215">
        <v>3751.1</v>
      </c>
      <c r="V143" s="99">
        <f t="shared" si="32"/>
        <v>3890.9492295890409</v>
      </c>
      <c r="W143" s="32">
        <f t="shared" si="28"/>
        <v>3968.7682141808218</v>
      </c>
      <c r="X143" s="32">
        <f t="shared" si="29"/>
        <v>4046.5871987726027</v>
      </c>
      <c r="Y143" t="s">
        <v>25</v>
      </c>
      <c r="AH143" s="20">
        <v>123</v>
      </c>
      <c r="AI143" s="117" t="s">
        <v>4865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Q144" s="169">
        <v>26970108</v>
      </c>
      <c r="R144" s="215" t="s">
        <v>4933</v>
      </c>
      <c r="S144" s="215">
        <f>S143</f>
        <v>34</v>
      </c>
      <c r="T144" s="215" t="s">
        <v>4942</v>
      </c>
      <c r="U144" s="215">
        <v>6110.2</v>
      </c>
      <c r="V144" s="99">
        <f t="shared" si="32"/>
        <v>6338.0016482191777</v>
      </c>
      <c r="W144" s="32">
        <f t="shared" si="28"/>
        <v>6464.7616811835614</v>
      </c>
      <c r="X144" s="32">
        <f t="shared" si="29"/>
        <v>6591.5217141479452</v>
      </c>
      <c r="Y144" t="s">
        <v>25</v>
      </c>
      <c r="AH144" s="20">
        <v>124</v>
      </c>
      <c r="AI144" s="117" t="s">
        <v>4872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Q145" s="169">
        <v>6150141</v>
      </c>
      <c r="R145" s="215" t="s">
        <v>4933</v>
      </c>
      <c r="S145" s="215">
        <f>S144</f>
        <v>34</v>
      </c>
      <c r="T145" s="215" t="s">
        <v>4943</v>
      </c>
      <c r="U145" s="215">
        <v>180.6</v>
      </c>
      <c r="V145" s="99">
        <f t="shared" si="32"/>
        <v>187.33316383561643</v>
      </c>
      <c r="W145" s="32">
        <f t="shared" si="28"/>
        <v>191.07982711232876</v>
      </c>
      <c r="X145" s="32">
        <f t="shared" si="29"/>
        <v>194.82649038904108</v>
      </c>
      <c r="AH145" s="20">
        <v>125</v>
      </c>
      <c r="AI145" s="117" t="s">
        <v>4879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5">AJ145*AL145</f>
        <v>15750000</v>
      </c>
      <c r="AN145" s="20"/>
    </row>
    <row r="146" spans="6:44">
      <c r="Q146" s="169">
        <v>162112</v>
      </c>
      <c r="R146" s="215" t="s">
        <v>4957</v>
      </c>
      <c r="S146" s="215">
        <f>S145-7</f>
        <v>27</v>
      </c>
      <c r="T146" s="215" t="s">
        <v>4960</v>
      </c>
      <c r="U146" s="215">
        <v>632.79999999999995</v>
      </c>
      <c r="V146" s="99">
        <f t="shared" si="32"/>
        <v>652.99412164383568</v>
      </c>
      <c r="W146" s="32">
        <f t="shared" si="28"/>
        <v>666.05400407671243</v>
      </c>
      <c r="X146" s="32">
        <f t="shared" si="29"/>
        <v>679.11388650958918</v>
      </c>
      <c r="AH146" s="23">
        <v>126</v>
      </c>
      <c r="AI146" s="35" t="s">
        <v>4884</v>
      </c>
      <c r="AJ146" s="35">
        <v>-31412200</v>
      </c>
      <c r="AK146" s="23">
        <v>1</v>
      </c>
      <c r="AL146" s="23">
        <f>AL164+AK146</f>
        <v>1</v>
      </c>
      <c r="AM146" s="35">
        <f t="shared" si="35"/>
        <v>-31412200</v>
      </c>
      <c r="AN146" s="23" t="s">
        <v>4867</v>
      </c>
    </row>
    <row r="147" spans="6:44">
      <c r="Q147" s="169">
        <v>1399908</v>
      </c>
      <c r="R147" s="215" t="s">
        <v>5014</v>
      </c>
      <c r="S147" s="215">
        <f>S146-13</f>
        <v>14</v>
      </c>
      <c r="T147" s="215" t="s">
        <v>5015</v>
      </c>
      <c r="U147" s="215">
        <v>194</v>
      </c>
      <c r="V147" s="99">
        <f t="shared" si="32"/>
        <v>198.25630684931511</v>
      </c>
      <c r="W147" s="32">
        <f t="shared" si="28"/>
        <v>202.22143298630141</v>
      </c>
      <c r="X147" s="32">
        <f t="shared" si="29"/>
        <v>206.18655912328771</v>
      </c>
      <c r="Z147" s="96"/>
      <c r="AH147" s="20">
        <v>127</v>
      </c>
      <c r="AI147" s="117" t="s">
        <v>4894</v>
      </c>
      <c r="AJ147" s="117">
        <v>70000</v>
      </c>
      <c r="AK147" s="20">
        <v>9</v>
      </c>
      <c r="AL147" s="20">
        <f>AL165+AK147</f>
        <v>9</v>
      </c>
      <c r="AM147" s="117">
        <f t="shared" si="35"/>
        <v>630000</v>
      </c>
      <c r="AN147" s="20"/>
    </row>
    <row r="148" spans="6:44">
      <c r="P148" s="114"/>
      <c r="Q148" s="169">
        <v>466793</v>
      </c>
      <c r="R148" s="215" t="s">
        <v>5020</v>
      </c>
      <c r="S148" s="215">
        <f>S147-3</f>
        <v>11</v>
      </c>
      <c r="T148" s="215" t="s">
        <v>5022</v>
      </c>
      <c r="U148" s="215">
        <v>4005.5</v>
      </c>
      <c r="V148" s="99">
        <f t="shared" si="32"/>
        <v>4084.1614356164387</v>
      </c>
      <c r="W148" s="32">
        <f t="shared" si="28"/>
        <v>4165.8446643287671</v>
      </c>
      <c r="X148" s="32">
        <f t="shared" si="29"/>
        <v>4247.5278930410959</v>
      </c>
      <c r="Z148" s="96"/>
      <c r="AH148" s="99">
        <v>128</v>
      </c>
      <c r="AI148" s="113" t="s">
        <v>4907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6">AJ148*AL148</f>
        <v>200000</v>
      </c>
      <c r="AN148" s="20"/>
      <c r="AP148" t="s">
        <v>25</v>
      </c>
      <c r="AR148" t="s">
        <v>25</v>
      </c>
    </row>
    <row r="149" spans="6:44">
      <c r="Q149" s="169">
        <v>250500</v>
      </c>
      <c r="R149" s="215" t="s">
        <v>4963</v>
      </c>
      <c r="S149" s="215">
        <f>S148-1</f>
        <v>10</v>
      </c>
      <c r="T149" s="215" t="s">
        <v>5025</v>
      </c>
      <c r="U149" s="215">
        <v>4087.6</v>
      </c>
      <c r="V149" s="99">
        <f t="shared" si="32"/>
        <v>4164.7380515068498</v>
      </c>
      <c r="W149" s="32">
        <f t="shared" si="28"/>
        <v>4248.032812536987</v>
      </c>
      <c r="X149" s="32">
        <f t="shared" si="29"/>
        <v>4331.3275735671241</v>
      </c>
      <c r="Z149" s="96"/>
      <c r="AH149" s="99">
        <v>129</v>
      </c>
      <c r="AI149" s="113" t="s">
        <v>4932</v>
      </c>
      <c r="AJ149" s="113">
        <v>1000000</v>
      </c>
      <c r="AK149" s="99">
        <v>1</v>
      </c>
      <c r="AL149" s="20">
        <f>AL167+AK149</f>
        <v>1</v>
      </c>
      <c r="AM149" s="117">
        <f t="shared" si="36"/>
        <v>1000000</v>
      </c>
      <c r="AN149" s="20"/>
    </row>
    <row r="150" spans="6:44">
      <c r="F150" t="s">
        <v>4868</v>
      </c>
      <c r="G150">
        <v>1200</v>
      </c>
      <c r="H150" t="s">
        <v>4869</v>
      </c>
      <c r="Q150" s="169">
        <v>1204033</v>
      </c>
      <c r="R150" s="215" t="s">
        <v>5027</v>
      </c>
      <c r="S150" s="215">
        <f>S149-3</f>
        <v>7</v>
      </c>
      <c r="T150" s="215" t="s">
        <v>5030</v>
      </c>
      <c r="U150" s="215">
        <v>218.5</v>
      </c>
      <c r="V150" s="99">
        <f t="shared" si="32"/>
        <v>222.12051506849318</v>
      </c>
      <c r="W150" s="32">
        <f t="shared" si="28"/>
        <v>226.56292536986305</v>
      </c>
      <c r="X150" s="32">
        <f t="shared" si="29"/>
        <v>231.0053356712329</v>
      </c>
      <c r="Z150" s="96"/>
      <c r="AA150" s="114"/>
      <c r="AC150" s="114"/>
      <c r="AD150" s="114"/>
      <c r="AH150" s="99">
        <v>130</v>
      </c>
      <c r="AI150" s="113" t="s">
        <v>4933</v>
      </c>
      <c r="AJ150" s="113">
        <v>65630227</v>
      </c>
      <c r="AK150" s="99">
        <v>0</v>
      </c>
      <c r="AL150" s="20">
        <f t="shared" ref="AL150:AL162" si="37">AL168+AK150</f>
        <v>0</v>
      </c>
      <c r="AM150" s="117">
        <f t="shared" ref="AM150:AM163" si="38">AJ150*AL150</f>
        <v>0</v>
      </c>
      <c r="AN150" s="20" t="s">
        <v>4938</v>
      </c>
      <c r="AP150" t="s">
        <v>25</v>
      </c>
    </row>
    <row r="151" spans="6:44">
      <c r="G151">
        <v>1350</v>
      </c>
      <c r="H151" t="s">
        <v>4870</v>
      </c>
      <c r="Q151" s="169">
        <v>1602603</v>
      </c>
      <c r="R151" s="215" t="s">
        <v>5032</v>
      </c>
      <c r="S151" s="215">
        <f>S150-1</f>
        <v>6</v>
      </c>
      <c r="T151" s="215" t="s">
        <v>5033</v>
      </c>
      <c r="U151" s="215">
        <v>4079.8</v>
      </c>
      <c r="V151" s="99">
        <f t="shared" si="32"/>
        <v>4144.2720175342465</v>
      </c>
      <c r="W151" s="32">
        <f t="shared" si="28"/>
        <v>4227.1574578849313</v>
      </c>
      <c r="X151" s="32">
        <f t="shared" si="29"/>
        <v>4310.0428982356161</v>
      </c>
      <c r="Z151" s="96"/>
      <c r="AA151" s="114"/>
      <c r="AC151" s="114"/>
      <c r="AH151" s="99">
        <v>131</v>
      </c>
      <c r="AI151" s="113" t="s">
        <v>4933</v>
      </c>
      <c r="AJ151" s="113">
        <v>-3500000</v>
      </c>
      <c r="AK151" s="99">
        <v>6</v>
      </c>
      <c r="AL151" s="20">
        <f t="shared" si="37"/>
        <v>6</v>
      </c>
      <c r="AM151" s="117">
        <f t="shared" si="38"/>
        <v>-21000000</v>
      </c>
      <c r="AN151" s="20" t="s">
        <v>4937</v>
      </c>
    </row>
    <row r="152" spans="6:44">
      <c r="G152">
        <v>1050</v>
      </c>
      <c r="H152" t="s">
        <v>4871</v>
      </c>
      <c r="Q152" s="169">
        <v>34125292</v>
      </c>
      <c r="R152" s="215" t="s">
        <v>5040</v>
      </c>
      <c r="S152" s="215">
        <f>S151-6</f>
        <v>0</v>
      </c>
      <c r="T152" s="215" t="s">
        <v>5047</v>
      </c>
      <c r="U152" s="215">
        <v>3686.5</v>
      </c>
      <c r="V152" s="99">
        <f t="shared" si="32"/>
        <v>3727.7888000000003</v>
      </c>
      <c r="W152" s="32">
        <f t="shared" si="28"/>
        <v>3802.3445760000004</v>
      </c>
      <c r="X152" s="32">
        <f t="shared" si="29"/>
        <v>3876.9003520000006</v>
      </c>
      <c r="Z152" s="96"/>
      <c r="AA152" s="114"/>
      <c r="AC152" s="114"/>
      <c r="AD152" s="114"/>
      <c r="AH152" s="99">
        <v>132</v>
      </c>
      <c r="AI152" s="113" t="s">
        <v>4952</v>
      </c>
      <c r="AJ152" s="113">
        <v>2520000</v>
      </c>
      <c r="AK152" s="99">
        <v>12</v>
      </c>
      <c r="AL152" s="20">
        <f t="shared" si="37"/>
        <v>12</v>
      </c>
      <c r="AM152" s="117">
        <f t="shared" si="38"/>
        <v>30240000</v>
      </c>
      <c r="AN152" s="20"/>
    </row>
    <row r="153" spans="6:44">
      <c r="Q153" s="169">
        <v>8382674</v>
      </c>
      <c r="R153" s="215" t="s">
        <v>5040</v>
      </c>
      <c r="S153" s="215">
        <f>S152</f>
        <v>0</v>
      </c>
      <c r="T153" s="215" t="s">
        <v>5048</v>
      </c>
      <c r="U153" s="215">
        <v>192</v>
      </c>
      <c r="V153" s="99">
        <f t="shared" si="32"/>
        <v>194.15040000000002</v>
      </c>
      <c r="W153" s="32">
        <f t="shared" si="28"/>
        <v>198.03340800000004</v>
      </c>
      <c r="X153" s="32">
        <f t="shared" si="29"/>
        <v>201.91641600000003</v>
      </c>
      <c r="Y153" s="96"/>
      <c r="Z153" s="96"/>
      <c r="AH153" s="99">
        <v>133</v>
      </c>
      <c r="AI153" s="113" t="s">
        <v>4991</v>
      </c>
      <c r="AJ153" s="113">
        <v>1400000</v>
      </c>
      <c r="AK153" s="99">
        <v>4</v>
      </c>
      <c r="AL153" s="20">
        <f t="shared" si="37"/>
        <v>4</v>
      </c>
      <c r="AM153" s="117">
        <f t="shared" si="38"/>
        <v>5600000</v>
      </c>
      <c r="AN153" s="20"/>
    </row>
    <row r="154" spans="6:44">
      <c r="Q154" s="169">
        <v>4527510</v>
      </c>
      <c r="R154" s="215" t="s">
        <v>5060</v>
      </c>
      <c r="S154" s="215">
        <f>S153-2</f>
        <v>-2</v>
      </c>
      <c r="T154" s="215" t="s">
        <v>5061</v>
      </c>
      <c r="U154" s="215">
        <v>3700</v>
      </c>
      <c r="V154" s="99">
        <f t="shared" si="32"/>
        <v>3735.7632876712332</v>
      </c>
      <c r="W154" s="32">
        <f t="shared" si="28"/>
        <v>3810.478553424658</v>
      </c>
      <c r="X154" s="32">
        <f t="shared" si="29"/>
        <v>3885.1938191780828</v>
      </c>
      <c r="Y154" s="96"/>
      <c r="Z154" s="96"/>
      <c r="AH154" s="99">
        <v>134</v>
      </c>
      <c r="AI154" s="113" t="s">
        <v>5018</v>
      </c>
      <c r="AJ154" s="113">
        <v>1550000</v>
      </c>
      <c r="AK154" s="99">
        <v>2</v>
      </c>
      <c r="AL154" s="20">
        <f t="shared" si="37"/>
        <v>2</v>
      </c>
      <c r="AM154" s="117">
        <f t="shared" si="38"/>
        <v>3100000</v>
      </c>
      <c r="AN154" s="20"/>
    </row>
    <row r="155" spans="6:44">
      <c r="Q155" s="169">
        <v>400275</v>
      </c>
      <c r="R155" s="215" t="s">
        <v>5060</v>
      </c>
      <c r="S155" s="215">
        <f>S154</f>
        <v>-2</v>
      </c>
      <c r="T155" s="215" t="s">
        <v>5063</v>
      </c>
      <c r="U155" s="215">
        <v>3723</v>
      </c>
      <c r="V155" s="99">
        <f t="shared" si="32"/>
        <v>3758.9856</v>
      </c>
      <c r="W155" s="32">
        <f t="shared" si="28"/>
        <v>3834.1653120000001</v>
      </c>
      <c r="X155" s="32">
        <f t="shared" si="29"/>
        <v>3909.3450240000002</v>
      </c>
      <c r="Y155" s="96"/>
      <c r="Z155" s="96"/>
      <c r="AH155" s="99">
        <v>135</v>
      </c>
      <c r="AI155" s="113" t="s">
        <v>4963</v>
      </c>
      <c r="AJ155" s="113">
        <v>250000</v>
      </c>
      <c r="AK155" s="99">
        <v>6</v>
      </c>
      <c r="AL155" s="20">
        <f t="shared" si="37"/>
        <v>6</v>
      </c>
      <c r="AM155" s="117">
        <f t="shared" si="38"/>
        <v>1500000</v>
      </c>
      <c r="AN155" s="20"/>
    </row>
    <row r="156" spans="6:44">
      <c r="Q156" s="169">
        <v>11829600</v>
      </c>
      <c r="R156" s="215" t="s">
        <v>5060</v>
      </c>
      <c r="S156" s="215">
        <f>S155</f>
        <v>-2</v>
      </c>
      <c r="T156" s="215" t="s">
        <v>5064</v>
      </c>
      <c r="U156" s="215">
        <v>3714.5</v>
      </c>
      <c r="V156" s="99">
        <f t="shared" ref="V156:V158" si="39">U156*(1+$N$81+$Q$15*S156/36500)</f>
        <v>3750.4034410958907</v>
      </c>
      <c r="W156" s="32">
        <f t="shared" si="28"/>
        <v>3825.4115099178084</v>
      </c>
      <c r="X156" s="32">
        <f t="shared" si="29"/>
        <v>3900.4195787397266</v>
      </c>
      <c r="Y156" s="96"/>
      <c r="Z156" s="96"/>
      <c r="AH156" s="99">
        <v>136</v>
      </c>
      <c r="AI156" s="113" t="s">
        <v>5031</v>
      </c>
      <c r="AJ156" s="113">
        <v>-48527480</v>
      </c>
      <c r="AK156" s="99">
        <v>1</v>
      </c>
      <c r="AL156" s="20">
        <f t="shared" si="37"/>
        <v>1</v>
      </c>
      <c r="AM156" s="117">
        <f t="shared" si="38"/>
        <v>-48527480</v>
      </c>
      <c r="AN156" s="20" t="s">
        <v>5034</v>
      </c>
      <c r="AQ156" t="s">
        <v>25</v>
      </c>
    </row>
    <row r="157" spans="6:44">
      <c r="P157" s="114"/>
      <c r="Q157" s="169">
        <v>4527086</v>
      </c>
      <c r="R157" s="215" t="s">
        <v>5060</v>
      </c>
      <c r="S157" s="215">
        <f>S156</f>
        <v>-2</v>
      </c>
      <c r="T157" s="215" t="s">
        <v>5065</v>
      </c>
      <c r="U157" s="215">
        <v>3748.9</v>
      </c>
      <c r="V157" s="99">
        <f t="shared" si="39"/>
        <v>3785.135943013699</v>
      </c>
      <c r="W157" s="32">
        <f t="shared" si="28"/>
        <v>3860.8386618739733</v>
      </c>
      <c r="X157" s="32">
        <f t="shared" si="29"/>
        <v>3936.541380734247</v>
      </c>
      <c r="Y157" s="96"/>
      <c r="Z157" s="96"/>
      <c r="AH157" s="99"/>
      <c r="AI157" s="113"/>
      <c r="AJ157" s="113"/>
      <c r="AK157" s="99"/>
      <c r="AL157" s="20">
        <f t="shared" si="37"/>
        <v>0</v>
      </c>
      <c r="AM157" s="117">
        <f t="shared" si="38"/>
        <v>0</v>
      </c>
      <c r="AN157" s="20"/>
    </row>
    <row r="158" spans="6:44">
      <c r="P158" s="114"/>
      <c r="Q158" s="169"/>
      <c r="R158" s="168"/>
      <c r="S158" s="168"/>
      <c r="T158" s="168"/>
      <c r="U158" s="168"/>
      <c r="V158" s="99">
        <f t="shared" si="39"/>
        <v>0</v>
      </c>
      <c r="W158" s="32">
        <f t="shared" si="28"/>
        <v>0</v>
      </c>
      <c r="X158" s="32">
        <f t="shared" si="29"/>
        <v>0</v>
      </c>
      <c r="Y158" s="96"/>
      <c r="Z158" s="96"/>
      <c r="AH158" s="99"/>
      <c r="AI158" s="113"/>
      <c r="AJ158" s="113"/>
      <c r="AK158" s="99"/>
      <c r="AL158" s="20">
        <f t="shared" si="37"/>
        <v>0</v>
      </c>
      <c r="AM158" s="117">
        <f t="shared" si="38"/>
        <v>0</v>
      </c>
      <c r="AN158" s="20"/>
      <c r="AQ158" t="s">
        <v>25</v>
      </c>
    </row>
    <row r="159" spans="6:44">
      <c r="Q159" s="113">
        <f>SUM(N43:N50)-SUM(Q92:Q158)</f>
        <v>26583731.100000024</v>
      </c>
      <c r="R159" s="112"/>
      <c r="S159" s="112"/>
      <c r="T159" s="112"/>
      <c r="U159" s="168"/>
      <c r="V159" s="99" t="s">
        <v>25</v>
      </c>
      <c r="W159" s="32"/>
      <c r="X159" s="32"/>
      <c r="Y159" s="96"/>
      <c r="Z159" s="96"/>
      <c r="AH159" s="99"/>
      <c r="AI159" s="113"/>
      <c r="AJ159" s="113"/>
      <c r="AK159" s="99"/>
      <c r="AL159" s="20">
        <f t="shared" si="37"/>
        <v>0</v>
      </c>
      <c r="AM159" s="117">
        <f t="shared" si="38"/>
        <v>0</v>
      </c>
      <c r="AN159" s="20"/>
      <c r="AP159" t="s">
        <v>25</v>
      </c>
      <c r="AQ159" t="s">
        <v>25</v>
      </c>
    </row>
    <row r="160" spans="6:44">
      <c r="Q160" s="26"/>
      <c r="R160" s="181"/>
      <c r="S160" s="181"/>
      <c r="T160" t="s">
        <v>25</v>
      </c>
      <c r="U160" s="96" t="s">
        <v>25</v>
      </c>
      <c r="V160" s="96" t="s">
        <v>25</v>
      </c>
      <c r="W160" s="96" t="s">
        <v>25</v>
      </c>
      <c r="Y160" s="96"/>
      <c r="AH160" s="99"/>
      <c r="AI160" s="113"/>
      <c r="AJ160" s="113"/>
      <c r="AK160" s="99"/>
      <c r="AL160" s="20">
        <f t="shared" si="37"/>
        <v>0</v>
      </c>
      <c r="AM160" s="117">
        <f t="shared" si="38"/>
        <v>0</v>
      </c>
      <c r="AN160" s="20"/>
      <c r="AQ160" t="s">
        <v>25</v>
      </c>
    </row>
    <row r="161" spans="15:40">
      <c r="R161" s="32" t="s">
        <v>4573</v>
      </c>
      <c r="S161" s="32" t="s">
        <v>950</v>
      </c>
      <c r="T161" t="s">
        <v>25</v>
      </c>
      <c r="U161" s="96" t="s">
        <v>25</v>
      </c>
      <c r="V161" s="96" t="s">
        <v>25</v>
      </c>
      <c r="W161" s="96" t="s">
        <v>25</v>
      </c>
      <c r="X161" s="122" t="s">
        <v>25</v>
      </c>
      <c r="Y161" s="96"/>
      <c r="AH161" s="99"/>
      <c r="AI161" s="113"/>
      <c r="AJ161" s="113"/>
      <c r="AK161" s="99"/>
      <c r="AL161" s="20">
        <f t="shared" si="37"/>
        <v>0</v>
      </c>
      <c r="AM161" s="117">
        <f t="shared" si="38"/>
        <v>0</v>
      </c>
      <c r="AN161" s="20"/>
    </row>
    <row r="162" spans="15:40">
      <c r="P162" s="114"/>
      <c r="R162" s="32">
        <v>2480</v>
      </c>
      <c r="S162" s="236">
        <v>13041741</v>
      </c>
      <c r="U162" s="96" t="s">
        <v>25</v>
      </c>
      <c r="V162" s="122" t="s">
        <v>25</v>
      </c>
      <c r="W162" s="96" t="s">
        <v>25</v>
      </c>
      <c r="X162" t="s">
        <v>25</v>
      </c>
      <c r="Y162" s="96"/>
      <c r="AH162" s="99"/>
      <c r="AI162" s="113"/>
      <c r="AJ162" s="113"/>
      <c r="AK162" s="99"/>
      <c r="AL162" s="20">
        <f t="shared" si="37"/>
        <v>0</v>
      </c>
      <c r="AM162" s="117">
        <f t="shared" si="38"/>
        <v>0</v>
      </c>
      <c r="AN162" s="20"/>
    </row>
    <row r="163" spans="15:40">
      <c r="Q163" t="s">
        <v>25</v>
      </c>
      <c r="R163" s="32">
        <v>1450</v>
      </c>
      <c r="S163" s="1">
        <f>S162*R163/R162</f>
        <v>7625211.4717741935</v>
      </c>
      <c r="U163" s="96" t="s">
        <v>25</v>
      </c>
      <c r="V163" s="122" t="s">
        <v>25</v>
      </c>
      <c r="W163" s="96" t="s">
        <v>25</v>
      </c>
      <c r="X163" t="s">
        <v>25</v>
      </c>
      <c r="Y163" s="96"/>
      <c r="AH163" s="99"/>
      <c r="AI163" s="113"/>
      <c r="AJ163" s="113"/>
      <c r="AK163" s="99"/>
      <c r="AL163" s="20">
        <v>0</v>
      </c>
      <c r="AM163" s="117">
        <f t="shared" si="38"/>
        <v>0</v>
      </c>
      <c r="AN163" s="20"/>
    </row>
    <row r="164" spans="15:40">
      <c r="P164" s="114"/>
      <c r="R164" s="32">
        <f>R162-R163</f>
        <v>1030</v>
      </c>
      <c r="S164" s="1">
        <f>R164*S162/R162</f>
        <v>5416529.5282258065</v>
      </c>
      <c r="U164" s="122" t="s">
        <v>25</v>
      </c>
      <c r="V164" s="96"/>
      <c r="W164"/>
      <c r="X164" t="s">
        <v>25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15:40">
      <c r="O165" s="96"/>
      <c r="P165" s="114"/>
      <c r="V165" s="96"/>
      <c r="W165"/>
      <c r="X165" t="s">
        <v>25</v>
      </c>
      <c r="Y165" s="96"/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15:40">
      <c r="O166" s="96"/>
      <c r="Q166" s="99" t="s">
        <v>4463</v>
      </c>
      <c r="R166" s="99" t="s">
        <v>4465</v>
      </c>
      <c r="S166" s="99"/>
      <c r="T166" s="99" t="s">
        <v>4466</v>
      </c>
      <c r="U166" s="99"/>
      <c r="V166" s="99"/>
      <c r="W166" s="99" t="s">
        <v>4576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Q167" s="113">
        <v>1000</v>
      </c>
      <c r="R167" s="99">
        <v>0.25</v>
      </c>
      <c r="S167" s="99"/>
      <c r="T167" s="99">
        <f>1-R167</f>
        <v>0.75</v>
      </c>
      <c r="U167" s="99"/>
      <c r="V167" s="99"/>
      <c r="W167" s="99"/>
      <c r="AH167" s="99"/>
      <c r="AI167" s="99"/>
      <c r="AJ167" s="99"/>
      <c r="AK167" s="99"/>
      <c r="AL167" s="99"/>
      <c r="AM167" s="99"/>
      <c r="AN167" s="99"/>
    </row>
    <row r="168" spans="15:40">
      <c r="Q168" s="168" t="s">
        <v>4450</v>
      </c>
      <c r="R168" s="168" t="s">
        <v>4468</v>
      </c>
      <c r="S168" s="168" t="s">
        <v>4470</v>
      </c>
      <c r="T168" s="168"/>
      <c r="U168" s="168" t="s">
        <v>4464</v>
      </c>
      <c r="V168" s="56" t="s">
        <v>4467</v>
      </c>
      <c r="W168" s="99"/>
      <c r="X168" s="115"/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Q169" s="168" t="s">
        <v>751</v>
      </c>
      <c r="R169" s="56">
        <v>1716161</v>
      </c>
      <c r="S169" s="113">
        <f>R169*$T$255</f>
        <v>537197863.61231589</v>
      </c>
      <c r="T169" s="168"/>
      <c r="U169" s="168">
        <f>$Q$167*$T$167*S169/$R$193</f>
        <v>361.63264772867115</v>
      </c>
      <c r="V169" s="95">
        <f>S169+U169</f>
        <v>537198225.24496365</v>
      </c>
      <c r="W169" s="99">
        <f>R169*100/U252</f>
        <v>48.217686363822821</v>
      </c>
      <c r="X169" s="219"/>
      <c r="AH169" s="99"/>
      <c r="AI169" s="99"/>
      <c r="AJ169" s="99"/>
      <c r="AK169" s="99"/>
      <c r="AL169" s="99"/>
      <c r="AM169" s="99"/>
      <c r="AN169" s="99"/>
    </row>
    <row r="170" spans="15:40">
      <c r="Q170" s="168" t="s">
        <v>4452</v>
      </c>
      <c r="R170" s="56">
        <v>1685765</v>
      </c>
      <c r="S170" s="113">
        <f>R170*$T$255</f>
        <v>527683216.52363372</v>
      </c>
      <c r="T170" s="168"/>
      <c r="U170" s="215">
        <f>$Q$167*$T$167*S170/$R$193</f>
        <v>355.22754589943673</v>
      </c>
      <c r="V170" s="95">
        <f t="shared" ref="V170:V171" si="40">S170+U170</f>
        <v>527683571.75117964</v>
      </c>
      <c r="W170" s="99">
        <f>R170*100/U252</f>
        <v>47.363672786591572</v>
      </c>
      <c r="X170" s="115"/>
      <c r="Y170" t="s">
        <v>25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15:40">
      <c r="Q171" s="168" t="s">
        <v>4451</v>
      </c>
      <c r="R171" s="56">
        <v>53811</v>
      </c>
      <c r="S171" s="113">
        <f>R171*$T$255</f>
        <v>16844080.618801109</v>
      </c>
      <c r="T171" s="168"/>
      <c r="U171" s="215">
        <f>$Q$167*$T$167*S171/$R$193</f>
        <v>11.3391543141509</v>
      </c>
      <c r="V171" s="95">
        <f t="shared" si="40"/>
        <v>16844091.957955424</v>
      </c>
      <c r="W171" s="99">
        <f>R171*100/U252</f>
        <v>1.5118872418867868</v>
      </c>
      <c r="X171" s="115"/>
      <c r="AI171" t="s">
        <v>4064</v>
      </c>
      <c r="AJ171" s="114">
        <f>SUM(N41:N50)</f>
        <v>681957429.10000002</v>
      </c>
    </row>
    <row r="172" spans="15:40">
      <c r="P172">
        <f>R172+1524</f>
        <v>104981</v>
      </c>
      <c r="Q172" s="168" t="s">
        <v>1087</v>
      </c>
      <c r="R172" s="56">
        <v>103457</v>
      </c>
      <c r="S172" s="113">
        <f>R172*$T$255</f>
        <v>32384420.445249233</v>
      </c>
      <c r="T172" s="168"/>
      <c r="U172" s="215">
        <f>$Q$167*$T$167*S172/$R$193</f>
        <v>21.800652057741161</v>
      </c>
      <c r="V172" s="95">
        <f>S172+U172</f>
        <v>32384442.24590129</v>
      </c>
      <c r="W172" s="99">
        <f>R172*100/U252</f>
        <v>2.9067536076988216</v>
      </c>
      <c r="X172" s="115"/>
      <c r="AI172" t="s">
        <v>4136</v>
      </c>
      <c r="AJ172" s="114">
        <f>AJ171-AJ165</f>
        <v>150720796.10000002</v>
      </c>
      <c r="AM172" t="s">
        <v>25</v>
      </c>
    </row>
    <row r="173" spans="15:40">
      <c r="Q173" s="168"/>
      <c r="R173" s="56"/>
      <c r="S173" s="168"/>
      <c r="T173" s="168"/>
      <c r="U173" s="168"/>
      <c r="V173" s="168"/>
      <c r="W173" s="99"/>
      <c r="X173" s="96"/>
      <c r="AI173" t="s">
        <v>943</v>
      </c>
      <c r="AJ173" s="114">
        <f>AN165</f>
        <v>34783214.272415452</v>
      </c>
      <c r="AN173" t="s">
        <v>25</v>
      </c>
    </row>
    <row r="174" spans="15:40">
      <c r="Q174" s="168"/>
      <c r="R174" s="168"/>
      <c r="S174" s="168"/>
      <c r="T174" s="168"/>
      <c r="U174" s="168"/>
      <c r="V174" s="168"/>
      <c r="W174" s="99"/>
      <c r="X174" s="96"/>
      <c r="AI174" t="s">
        <v>4065</v>
      </c>
      <c r="AJ174" s="114">
        <f>AJ171-AJ170</f>
        <v>115937581.82758462</v>
      </c>
      <c r="AN174" t="s">
        <v>25</v>
      </c>
    </row>
    <row r="175" spans="15:40">
      <c r="Q175" s="99"/>
      <c r="R175" s="99"/>
      <c r="S175" s="99"/>
      <c r="T175" s="99" t="s">
        <v>25</v>
      </c>
      <c r="U175" s="99"/>
      <c r="V175" s="99"/>
      <c r="W175" s="99"/>
      <c r="X175" s="96"/>
      <c r="AM175" t="s">
        <v>25</v>
      </c>
    </row>
    <row r="176" spans="15:40">
      <c r="Q176" s="99"/>
      <c r="R176" s="99"/>
      <c r="S176" s="99"/>
      <c r="T176" s="99"/>
      <c r="U176" s="99"/>
      <c r="V176" s="99"/>
      <c r="W176" s="99"/>
      <c r="X176" s="96"/>
      <c r="AJ176" t="s">
        <v>25</v>
      </c>
    </row>
    <row r="177" spans="16:44">
      <c r="Q177" s="99"/>
      <c r="R177" s="99"/>
      <c r="S177" s="99"/>
      <c r="T177" s="99"/>
      <c r="U177" s="99"/>
      <c r="V177" s="99"/>
      <c r="W177" s="99"/>
      <c r="X177" s="96"/>
    </row>
    <row r="178" spans="16:44">
      <c r="Q178" s="96"/>
      <c r="R178" s="96"/>
      <c r="S178" s="96"/>
      <c r="T178" s="96"/>
      <c r="V178" s="96"/>
      <c r="X178" s="115"/>
    </row>
    <row r="179" spans="16:44">
      <c r="Q179" s="96"/>
      <c r="R179" s="96"/>
      <c r="S179" s="96"/>
      <c r="T179" s="96"/>
      <c r="V179" s="96"/>
      <c r="Y179" t="s">
        <v>25</v>
      </c>
    </row>
    <row r="180" spans="16:44">
      <c r="Q180" s="96"/>
      <c r="R180" s="96"/>
      <c r="S180" s="96"/>
      <c r="T180" s="96" t="s">
        <v>25</v>
      </c>
      <c r="V180" s="96"/>
    </row>
    <row r="181" spans="16:44">
      <c r="Q181" s="96"/>
      <c r="R181" s="96"/>
      <c r="S181" s="96"/>
      <c r="T181" s="96"/>
      <c r="V181" s="96"/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6"/>
      <c r="R182" s="96"/>
      <c r="S182" s="96"/>
      <c r="T182" s="99" t="s">
        <v>180</v>
      </c>
      <c r="U182" s="99" t="s">
        <v>4486</v>
      </c>
      <c r="V182" s="99" t="s">
        <v>4487</v>
      </c>
      <c r="W182" s="99" t="s">
        <v>4497</v>
      </c>
      <c r="X182" s="99" t="s">
        <v>8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303</v>
      </c>
      <c r="AM182" s="99">
        <f>AJ182*AL182</f>
        <v>1077413460</v>
      </c>
      <c r="AN182" s="99" t="s">
        <v>4313</v>
      </c>
      <c r="AR182" t="s">
        <v>25</v>
      </c>
    </row>
    <row r="183" spans="16:44">
      <c r="Q183" s="36" t="s">
        <v>4572</v>
      </c>
      <c r="R183" s="95">
        <f>SUM(N43:N50)</f>
        <v>681954333.10000002</v>
      </c>
      <c r="T183" s="113" t="s">
        <v>4462</v>
      </c>
      <c r="U183" s="56">
        <v>1000000</v>
      </c>
      <c r="V183" s="113">
        <v>239.024</v>
      </c>
      <c r="W183" s="113">
        <f t="shared" ref="W183:W250" si="41">U183*V183</f>
        <v>239024000</v>
      </c>
      <c r="X183" s="99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301</v>
      </c>
      <c r="AM183" s="99">
        <f t="shared" ref="AM183:AM211" si="43">AJ183*AL183</f>
        <v>517971937</v>
      </c>
      <c r="AN183" s="99" t="s">
        <v>4314</v>
      </c>
    </row>
    <row r="184" spans="16:44">
      <c r="Q184" s="99" t="s">
        <v>4453</v>
      </c>
      <c r="R184" s="95">
        <f>SUM(N21:N24)</f>
        <v>394614529.30000001</v>
      </c>
      <c r="T184" s="168" t="s">
        <v>4444</v>
      </c>
      <c r="U184" s="56">
        <v>5904</v>
      </c>
      <c r="V184" s="113">
        <v>237.148</v>
      </c>
      <c r="W184" s="113">
        <f t="shared" si="41"/>
        <v>1400121.7919999999</v>
      </c>
      <c r="X184" s="99" t="s">
        <v>751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250</v>
      </c>
      <c r="AM184" s="99">
        <f t="shared" si="43"/>
        <v>37500000</v>
      </c>
      <c r="AN184" s="99"/>
    </row>
    <row r="185" spans="16:44">
      <c r="Q185" s="99" t="s">
        <v>4454</v>
      </c>
      <c r="R185" s="95">
        <f>SUM(N27:N30)</f>
        <v>36637058.799999997</v>
      </c>
      <c r="T185" s="168" t="s">
        <v>4232</v>
      </c>
      <c r="U185" s="168">
        <v>1000</v>
      </c>
      <c r="V185" s="113">
        <v>247.393</v>
      </c>
      <c r="W185" s="113">
        <f t="shared" si="41"/>
        <v>247393</v>
      </c>
      <c r="X185" s="99" t="s">
        <v>751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247</v>
      </c>
      <c r="AM185" s="99">
        <f t="shared" si="43"/>
        <v>-23465000</v>
      </c>
      <c r="AN185" s="99"/>
    </row>
    <row r="186" spans="16:44">
      <c r="Q186" s="99" t="s">
        <v>4455</v>
      </c>
      <c r="R186" s="95">
        <f>N41</f>
        <v>3096</v>
      </c>
      <c r="T186" s="168" t="s">
        <v>4498</v>
      </c>
      <c r="U186" s="168">
        <v>8071</v>
      </c>
      <c r="V186" s="113">
        <v>247.797</v>
      </c>
      <c r="W186" s="113">
        <f t="shared" si="41"/>
        <v>1999969.5870000001</v>
      </c>
      <c r="X186" s="99" t="s">
        <v>4451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239</v>
      </c>
      <c r="AM186" s="99">
        <f t="shared" si="43"/>
        <v>752850000</v>
      </c>
      <c r="AN186" s="99"/>
    </row>
    <row r="187" spans="16:44">
      <c r="Q187" s="99" t="s">
        <v>4456</v>
      </c>
      <c r="R187" s="95">
        <f>N20</f>
        <v>518</v>
      </c>
      <c r="T187" s="168" t="s">
        <v>4498</v>
      </c>
      <c r="U187" s="168">
        <v>53672</v>
      </c>
      <c r="V187" s="113">
        <v>247.797</v>
      </c>
      <c r="W187" s="113">
        <f t="shared" si="41"/>
        <v>13299760.584000001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223</v>
      </c>
      <c r="AM187" s="99">
        <f t="shared" si="43"/>
        <v>-14495000</v>
      </c>
      <c r="AN187" s="99"/>
    </row>
    <row r="188" spans="16:44">
      <c r="P188" s="114"/>
      <c r="Q188" s="99" t="s">
        <v>4457</v>
      </c>
      <c r="R188" s="95">
        <f>N26</f>
        <v>3686</v>
      </c>
      <c r="T188" s="168" t="s">
        <v>4506</v>
      </c>
      <c r="U188" s="168">
        <v>4099</v>
      </c>
      <c r="V188" s="113">
        <v>243.93</v>
      </c>
      <c r="W188" s="113">
        <f t="shared" si="41"/>
        <v>999869.07000000007</v>
      </c>
      <c r="X188" s="99" t="s">
        <v>4451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222</v>
      </c>
      <c r="AM188" s="99">
        <f t="shared" si="43"/>
        <v>-21090000</v>
      </c>
      <c r="AN188" s="99"/>
    </row>
    <row r="189" spans="16:44">
      <c r="Q189" s="99" t="s">
        <v>4469</v>
      </c>
      <c r="R189" s="95">
        <v>0</v>
      </c>
      <c r="T189" s="168" t="s">
        <v>4506</v>
      </c>
      <c r="U189" s="168">
        <v>9301</v>
      </c>
      <c r="V189" s="113">
        <v>243.93</v>
      </c>
      <c r="W189" s="113">
        <f t="shared" si="41"/>
        <v>2268792.9300000002</v>
      </c>
      <c r="X189" s="99" t="s">
        <v>452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216</v>
      </c>
      <c r="AM189" s="99">
        <f t="shared" si="43"/>
        <v>50112000</v>
      </c>
      <c r="AN189" s="99"/>
    </row>
    <row r="190" spans="16:44">
      <c r="P190" s="114"/>
      <c r="Q190" s="99" t="s">
        <v>4992</v>
      </c>
      <c r="R190" s="95">
        <v>696360</v>
      </c>
      <c r="T190" s="168" t="s">
        <v>4512</v>
      </c>
      <c r="U190" s="168">
        <v>8334</v>
      </c>
      <c r="V190" s="113">
        <v>239.97</v>
      </c>
      <c r="W190" s="113">
        <f t="shared" si="41"/>
        <v>1999909.98</v>
      </c>
      <c r="X190" s="99" t="s">
        <v>4451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209</v>
      </c>
      <c r="AM190" s="99">
        <f t="shared" si="43"/>
        <v>2717000000</v>
      </c>
      <c r="AN190" s="99"/>
    </row>
    <row r="191" spans="16:44">
      <c r="Q191" s="99" t="s">
        <v>4905</v>
      </c>
      <c r="R191" s="95">
        <v>200000</v>
      </c>
      <c r="T191" s="168" t="s">
        <v>4231</v>
      </c>
      <c r="U191" s="168">
        <v>29041</v>
      </c>
      <c r="V191" s="113">
        <v>233.45</v>
      </c>
      <c r="W191" s="113">
        <f t="shared" si="41"/>
        <v>6779621.4499999993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207</v>
      </c>
      <c r="AM191" s="99">
        <f t="shared" si="43"/>
        <v>2070000000</v>
      </c>
      <c r="AN191" s="99"/>
    </row>
    <row r="192" spans="16:44">
      <c r="P192" s="96"/>
      <c r="Q192" s="99" t="s">
        <v>5035</v>
      </c>
      <c r="R192" s="95">
        <v>0</v>
      </c>
      <c r="S192" s="115"/>
      <c r="T192" s="168" t="s">
        <v>994</v>
      </c>
      <c r="U192" s="168">
        <v>12337</v>
      </c>
      <c r="V192" s="113">
        <v>243.16300000000001</v>
      </c>
      <c r="W192" s="113">
        <f t="shared" si="41"/>
        <v>2999901.9310000003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204</v>
      </c>
      <c r="AM192" s="99">
        <f t="shared" si="43"/>
        <v>693600000</v>
      </c>
      <c r="AN192" s="99"/>
    </row>
    <row r="193" spans="15:44">
      <c r="Q193" s="99" t="s">
        <v>4461</v>
      </c>
      <c r="R193" s="95">
        <f>SUM(R183:R192)</f>
        <v>1114109581.2</v>
      </c>
      <c r="S193" s="122"/>
      <c r="T193" s="168" t="s">
        <v>4595</v>
      </c>
      <c r="U193" s="168">
        <v>-16118</v>
      </c>
      <c r="V193" s="113">
        <v>248.17</v>
      </c>
      <c r="W193" s="113">
        <f t="shared" si="41"/>
        <v>-4000004.0599999996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195</v>
      </c>
      <c r="AM193" s="99">
        <f t="shared" si="43"/>
        <v>-1703620230</v>
      </c>
      <c r="AN193" s="99"/>
    </row>
    <row r="194" spans="15:44">
      <c r="Q194" s="96"/>
      <c r="S194" s="115"/>
      <c r="T194" s="168" t="s">
        <v>4623</v>
      </c>
      <c r="U194" s="168">
        <v>101681</v>
      </c>
      <c r="V194" s="113">
        <v>246.5711</v>
      </c>
      <c r="W194" s="113">
        <f t="shared" si="41"/>
        <v>25071596.019099999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4">AK194+AL195</f>
        <v>194</v>
      </c>
      <c r="AM194" s="99">
        <f t="shared" si="43"/>
        <v>107670000</v>
      </c>
      <c r="AN194" s="99"/>
    </row>
    <row r="195" spans="15:44">
      <c r="Q195" s="96"/>
      <c r="R195" s="182"/>
      <c r="S195" s="115"/>
      <c r="T195" s="168" t="s">
        <v>4627</v>
      </c>
      <c r="U195" s="168">
        <v>66606</v>
      </c>
      <c r="V195" s="113">
        <v>251.131</v>
      </c>
      <c r="W195" s="113">
        <f t="shared" si="41"/>
        <v>16726831.386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4"/>
        <v>189</v>
      </c>
      <c r="AM195" s="99">
        <f t="shared" si="43"/>
        <v>-84730212</v>
      </c>
      <c r="AN195" s="99"/>
    </row>
    <row r="196" spans="15:44">
      <c r="Q196" s="96"/>
      <c r="R196" s="182"/>
      <c r="T196" s="168" t="s">
        <v>4633</v>
      </c>
      <c r="U196" s="168">
        <v>172025</v>
      </c>
      <c r="V196" s="113">
        <v>245.52809999999999</v>
      </c>
      <c r="W196" s="113">
        <f t="shared" si="41"/>
        <v>42236971.402499996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4"/>
        <v>183</v>
      </c>
      <c r="AM196" s="99">
        <f t="shared" si="43"/>
        <v>6080175</v>
      </c>
      <c r="AN196" s="99"/>
    </row>
    <row r="197" spans="15:44">
      <c r="Q197" s="96"/>
      <c r="R197" s="115"/>
      <c r="T197" s="168" t="s">
        <v>4633</v>
      </c>
      <c r="U197" s="168">
        <v>189227</v>
      </c>
      <c r="V197" s="113">
        <v>245.52809999999999</v>
      </c>
      <c r="W197" s="113">
        <f t="shared" si="41"/>
        <v>46460545.778700002</v>
      </c>
      <c r="X197" s="99" t="s">
        <v>751</v>
      </c>
      <c r="Y197" t="s">
        <v>25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4"/>
        <v>183</v>
      </c>
      <c r="AM197" s="149">
        <f t="shared" si="43"/>
        <v>750029709</v>
      </c>
      <c r="AN197" s="149" t="s">
        <v>657</v>
      </c>
    </row>
    <row r="198" spans="15:44">
      <c r="T198" s="168" t="s">
        <v>4636</v>
      </c>
      <c r="U198" s="168">
        <v>79720</v>
      </c>
      <c r="V198" s="113">
        <v>246.6568</v>
      </c>
      <c r="W198" s="113">
        <f t="shared" si="41"/>
        <v>19663480.096000001</v>
      </c>
      <c r="X198" s="99" t="s">
        <v>452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4"/>
        <v>181</v>
      </c>
      <c r="AM198" s="149">
        <f t="shared" si="43"/>
        <v>-181000000</v>
      </c>
      <c r="AN198" s="149" t="s">
        <v>657</v>
      </c>
    </row>
    <row r="199" spans="15:44">
      <c r="O199" t="s">
        <v>25</v>
      </c>
      <c r="P199" s="99" t="s">
        <v>8</v>
      </c>
      <c r="Q199" s="99" t="s">
        <v>4451</v>
      </c>
      <c r="R199" s="99"/>
      <c r="T199" s="168" t="s">
        <v>4636</v>
      </c>
      <c r="U199" s="168">
        <v>79720</v>
      </c>
      <c r="V199" s="113">
        <v>246.6568</v>
      </c>
      <c r="W199" s="113">
        <f t="shared" si="41"/>
        <v>19663480.096000001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4"/>
        <v>174</v>
      </c>
      <c r="AM199" s="149">
        <f t="shared" si="43"/>
        <v>130500000</v>
      </c>
      <c r="AN199" s="149" t="s">
        <v>657</v>
      </c>
      <c r="AQ199" t="s">
        <v>25</v>
      </c>
    </row>
    <row r="200" spans="15:44">
      <c r="P200" s="99"/>
      <c r="Q200" s="36" t="s">
        <v>180</v>
      </c>
      <c r="R200" s="99" t="s">
        <v>267</v>
      </c>
      <c r="T200" s="168" t="s">
        <v>4663</v>
      </c>
      <c r="U200" s="168">
        <v>17769</v>
      </c>
      <c r="V200" s="113">
        <v>246.17877999999999</v>
      </c>
      <c r="W200" s="113">
        <f t="shared" si="41"/>
        <v>4374350.7418200001</v>
      </c>
      <c r="X200" s="99" t="s">
        <v>751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4"/>
        <v>173</v>
      </c>
      <c r="AM200" s="196">
        <f t="shared" si="43"/>
        <v>-104518296</v>
      </c>
      <c r="AN200" s="196" t="s">
        <v>657</v>
      </c>
    </row>
    <row r="201" spans="15:44">
      <c r="P201" s="99"/>
      <c r="Q201" s="99" t="s">
        <v>4444</v>
      </c>
      <c r="R201" s="95">
        <v>3000000</v>
      </c>
      <c r="T201" s="168" t="s">
        <v>4663</v>
      </c>
      <c r="U201" s="168">
        <v>17769</v>
      </c>
      <c r="V201" s="113">
        <v>246.17877999999999</v>
      </c>
      <c r="W201" s="113">
        <f t="shared" si="41"/>
        <v>4374350.7418200001</v>
      </c>
      <c r="X201" s="99" t="s">
        <v>452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4"/>
        <v>173</v>
      </c>
      <c r="AM201" s="99">
        <f t="shared" si="43"/>
        <v>-101565359</v>
      </c>
      <c r="AN201" s="99"/>
    </row>
    <row r="202" spans="15:44">
      <c r="P202" s="99"/>
      <c r="Q202" s="99" t="s">
        <v>4498</v>
      </c>
      <c r="R202" s="95">
        <v>2000000</v>
      </c>
      <c r="T202" s="168" t="s">
        <v>4668</v>
      </c>
      <c r="U202" s="168">
        <v>12438</v>
      </c>
      <c r="V202" s="113">
        <v>241.20465999999999</v>
      </c>
      <c r="W202" s="113">
        <f t="shared" si="41"/>
        <v>3000103.5610799999</v>
      </c>
      <c r="X202" s="99" t="s">
        <v>4451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4"/>
        <v>169</v>
      </c>
      <c r="AM202" s="196">
        <f t="shared" si="43"/>
        <v>-127485319</v>
      </c>
      <c r="AN202" s="196" t="s">
        <v>657</v>
      </c>
      <c r="AR202" t="s">
        <v>25</v>
      </c>
    </row>
    <row r="203" spans="15:44">
      <c r="P203" s="99"/>
      <c r="Q203" s="99" t="s">
        <v>4506</v>
      </c>
      <c r="R203" s="95">
        <v>1000000</v>
      </c>
      <c r="T203" s="168" t="s">
        <v>4678</v>
      </c>
      <c r="U203" s="168">
        <v>27363</v>
      </c>
      <c r="V203" s="113">
        <v>239.3886</v>
      </c>
      <c r="W203" s="113">
        <f t="shared" si="41"/>
        <v>6550390.2617999995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4"/>
        <v>169</v>
      </c>
      <c r="AM203" s="99">
        <f t="shared" si="43"/>
        <v>-32045611</v>
      </c>
      <c r="AN203" s="99"/>
    </row>
    <row r="204" spans="15:44">
      <c r="P204" s="99"/>
      <c r="Q204" s="99" t="s">
        <v>4512</v>
      </c>
      <c r="R204" s="95">
        <v>2000000</v>
      </c>
      <c r="T204" s="168" t="s">
        <v>4678</v>
      </c>
      <c r="U204" s="168">
        <v>27363</v>
      </c>
      <c r="V204" s="113">
        <v>239.3886</v>
      </c>
      <c r="W204" s="113">
        <f t="shared" si="41"/>
        <v>6550390.2617999995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4"/>
        <v>154</v>
      </c>
      <c r="AM204" s="196">
        <f t="shared" si="43"/>
        <v>1093400</v>
      </c>
      <c r="AN204" s="196" t="s">
        <v>657</v>
      </c>
    </row>
    <row r="205" spans="15:44">
      <c r="P205" s="99"/>
      <c r="Q205" s="99" t="s">
        <v>994</v>
      </c>
      <c r="R205" s="95">
        <v>3000000</v>
      </c>
      <c r="T205" s="212" t="s">
        <v>4681</v>
      </c>
      <c r="U205" s="212">
        <v>27437</v>
      </c>
      <c r="V205" s="113">
        <v>242.4015</v>
      </c>
      <c r="W205" s="113">
        <f t="shared" si="41"/>
        <v>6650769.9555000002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4"/>
        <v>154</v>
      </c>
      <c r="AM205" s="20">
        <f t="shared" si="43"/>
        <v>-22776908</v>
      </c>
      <c r="AN205" s="20"/>
      <c r="AR205" t="s">
        <v>25</v>
      </c>
    </row>
    <row r="206" spans="15:44">
      <c r="P206" s="99"/>
      <c r="Q206" s="99" t="s">
        <v>4668</v>
      </c>
      <c r="R206" s="95">
        <v>3000000</v>
      </c>
      <c r="T206" s="212" t="s">
        <v>4681</v>
      </c>
      <c r="U206" s="212">
        <v>29104</v>
      </c>
      <c r="V206" s="113">
        <v>242.4015</v>
      </c>
      <c r="W206" s="113">
        <f t="shared" si="41"/>
        <v>7054853.2560000001</v>
      </c>
      <c r="X206" s="99" t="s">
        <v>452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4"/>
        <v>151</v>
      </c>
      <c r="AM206" s="196">
        <f t="shared" si="43"/>
        <v>-5617200</v>
      </c>
      <c r="AN206" s="149" t="s">
        <v>657</v>
      </c>
    </row>
    <row r="207" spans="15:44">
      <c r="P207" s="99" t="s">
        <v>4890</v>
      </c>
      <c r="Q207" s="99" t="s">
        <v>4884</v>
      </c>
      <c r="R207" s="95">
        <v>-800000</v>
      </c>
      <c r="T207" s="215" t="s">
        <v>4709</v>
      </c>
      <c r="U207" s="215">
        <v>8991</v>
      </c>
      <c r="V207" s="113">
        <v>238.64867000000001</v>
      </c>
      <c r="W207" s="113">
        <f t="shared" si="41"/>
        <v>2145690.19197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4"/>
        <v>147</v>
      </c>
      <c r="AM207" s="20">
        <f t="shared" si="43"/>
        <v>-54731922</v>
      </c>
      <c r="AN207" s="99"/>
    </row>
    <row r="208" spans="15:44">
      <c r="P208" s="99" t="s">
        <v>4891</v>
      </c>
      <c r="Q208" s="99" t="s">
        <v>4884</v>
      </c>
      <c r="R208" s="95">
        <v>-900000</v>
      </c>
      <c r="T208" s="215" t="s">
        <v>4709</v>
      </c>
      <c r="U208" s="215">
        <v>8991</v>
      </c>
      <c r="V208" s="113">
        <v>238.64867000000001</v>
      </c>
      <c r="W208" s="113">
        <f t="shared" si="41"/>
        <v>2145690.19197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4"/>
        <v>126</v>
      </c>
      <c r="AM208" s="20">
        <f t="shared" si="43"/>
        <v>29617812</v>
      </c>
      <c r="AN208" s="99"/>
    </row>
    <row r="209" spans="16:45">
      <c r="P209" s="99" t="s">
        <v>4891</v>
      </c>
      <c r="Q209" s="99" t="s">
        <v>981</v>
      </c>
      <c r="R209" s="95">
        <v>-1100000</v>
      </c>
      <c r="T209" s="215" t="s">
        <v>4722</v>
      </c>
      <c r="U209" s="215">
        <v>18170</v>
      </c>
      <c r="V209" s="113">
        <v>240.48475999999999</v>
      </c>
      <c r="W209" s="113">
        <f t="shared" si="41"/>
        <v>4369608.0892000003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4"/>
        <v>126</v>
      </c>
      <c r="AM209" s="149">
        <f t="shared" si="43"/>
        <v>29617812</v>
      </c>
      <c r="AN209" s="149" t="s">
        <v>657</v>
      </c>
      <c r="AP209" t="s">
        <v>25</v>
      </c>
    </row>
    <row r="210" spans="16:45">
      <c r="P210" s="196" t="s">
        <v>1087</v>
      </c>
      <c r="Q210" s="196" t="s">
        <v>4920</v>
      </c>
      <c r="R210" s="244">
        <v>30000000</v>
      </c>
      <c r="S210" t="s">
        <v>25</v>
      </c>
      <c r="T210" s="215" t="s">
        <v>4722</v>
      </c>
      <c r="U210" s="215">
        <v>18170</v>
      </c>
      <c r="V210" s="113">
        <v>240.48475999999999</v>
      </c>
      <c r="W210" s="113">
        <f t="shared" si="41"/>
        <v>4369608.0892000003</v>
      </c>
      <c r="X210" s="99" t="s">
        <v>452</v>
      </c>
      <c r="Z210" t="s">
        <v>25</v>
      </c>
      <c r="AH210" s="149">
        <v>29</v>
      </c>
      <c r="AI210" s="149" t="s">
        <v>4636</v>
      </c>
      <c r="AJ210" s="189">
        <v>450000</v>
      </c>
      <c r="AK210" s="149">
        <v>0</v>
      </c>
      <c r="AL210" s="99">
        <f t="shared" si="44"/>
        <v>117</v>
      </c>
      <c r="AM210" s="149">
        <f t="shared" si="43"/>
        <v>52650000</v>
      </c>
      <c r="AN210" s="149" t="s">
        <v>657</v>
      </c>
    </row>
    <row r="211" spans="16:45">
      <c r="P211" s="20" t="s">
        <v>5024</v>
      </c>
      <c r="Q211" s="20" t="s">
        <v>5020</v>
      </c>
      <c r="R211" s="249">
        <v>2000000</v>
      </c>
      <c r="T211" s="215" t="s">
        <v>4726</v>
      </c>
      <c r="U211" s="215">
        <v>36797</v>
      </c>
      <c r="V211" s="113">
        <v>239.0822</v>
      </c>
      <c r="W211" s="113">
        <f t="shared" si="41"/>
        <v>8797507.7134000007</v>
      </c>
      <c r="X211" s="99" t="s">
        <v>751</v>
      </c>
      <c r="AH211" s="20">
        <v>30</v>
      </c>
      <c r="AI211" s="20" t="s">
        <v>4636</v>
      </c>
      <c r="AJ211" s="117">
        <v>450000</v>
      </c>
      <c r="AK211" s="20">
        <v>22</v>
      </c>
      <c r="AL211" s="99">
        <f>AK211+AL212</f>
        <v>117</v>
      </c>
      <c r="AM211" s="20">
        <f t="shared" si="43"/>
        <v>52650000</v>
      </c>
      <c r="AN211" s="20"/>
      <c r="AR211" t="s">
        <v>25</v>
      </c>
    </row>
    <row r="212" spans="16:45">
      <c r="P212" s="149" t="s">
        <v>5069</v>
      </c>
      <c r="Q212" s="149" t="s">
        <v>5068</v>
      </c>
      <c r="R212" s="150">
        <v>480105</v>
      </c>
      <c r="T212" s="215" t="s">
        <v>4726</v>
      </c>
      <c r="U212" s="215">
        <v>36797</v>
      </c>
      <c r="V212" s="113">
        <v>239.0822</v>
      </c>
      <c r="W212" s="113">
        <f t="shared" si="41"/>
        <v>8797507.7134000007</v>
      </c>
      <c r="X212" s="99" t="s">
        <v>452</v>
      </c>
      <c r="AH212" s="149">
        <v>31</v>
      </c>
      <c r="AI212" s="149" t="s">
        <v>4726</v>
      </c>
      <c r="AJ212" s="189">
        <v>300000</v>
      </c>
      <c r="AK212" s="149">
        <v>0</v>
      </c>
      <c r="AL212" s="149">
        <f t="shared" ref="AL212:AL227" si="45">AK212+AL213</f>
        <v>95</v>
      </c>
      <c r="AM212" s="149">
        <f t="shared" ref="AM212:AM215" si="46">AJ212*AL212</f>
        <v>28500000</v>
      </c>
      <c r="AN212" s="149"/>
      <c r="AQ212" t="s">
        <v>25</v>
      </c>
    </row>
    <row r="213" spans="16:45" ht="30">
      <c r="P213" s="99"/>
      <c r="Q213" s="99"/>
      <c r="R213" s="95"/>
      <c r="T213" s="215" t="s">
        <v>4736</v>
      </c>
      <c r="U213" s="215">
        <v>28066</v>
      </c>
      <c r="V213" s="113">
        <v>237.56970000000001</v>
      </c>
      <c r="W213" s="113">
        <f t="shared" si="41"/>
        <v>6667631.2002000008</v>
      </c>
      <c r="X213" s="99" t="s">
        <v>751</v>
      </c>
      <c r="AH213" s="121">
        <v>32</v>
      </c>
      <c r="AI213" s="121" t="s">
        <v>4726</v>
      </c>
      <c r="AJ213" s="79">
        <v>288936</v>
      </c>
      <c r="AK213" s="121">
        <v>3</v>
      </c>
      <c r="AL213" s="121">
        <f t="shared" si="45"/>
        <v>95</v>
      </c>
      <c r="AM213" s="121">
        <f t="shared" si="46"/>
        <v>27448920</v>
      </c>
      <c r="AN213" s="207" t="s">
        <v>4738</v>
      </c>
    </row>
    <row r="214" spans="16:45">
      <c r="P214" s="99"/>
      <c r="Q214" s="99"/>
      <c r="R214" s="95">
        <f>SUM(R201:R212)</f>
        <v>43680105</v>
      </c>
      <c r="T214" s="215" t="s">
        <v>4736</v>
      </c>
      <c r="U214" s="215">
        <v>28066</v>
      </c>
      <c r="V214" s="113">
        <v>237.56970000000001</v>
      </c>
      <c r="W214" s="113">
        <f t="shared" si="41"/>
        <v>6667631.2002000008</v>
      </c>
      <c r="X214" s="99" t="s">
        <v>452</v>
      </c>
      <c r="AH214" s="121">
        <v>33</v>
      </c>
      <c r="AI214" s="121" t="s">
        <v>4736</v>
      </c>
      <c r="AJ214" s="79">
        <v>17962491</v>
      </c>
      <c r="AK214" s="121">
        <v>1</v>
      </c>
      <c r="AL214" s="121">
        <f t="shared" si="45"/>
        <v>92</v>
      </c>
      <c r="AM214" s="121">
        <f t="shared" si="46"/>
        <v>1652549172</v>
      </c>
      <c r="AN214" s="121" t="s">
        <v>4743</v>
      </c>
    </row>
    <row r="215" spans="16:45">
      <c r="P215" s="99"/>
      <c r="Q215" s="99"/>
      <c r="R215" s="99" t="s">
        <v>6</v>
      </c>
      <c r="T215" s="215" t="s">
        <v>3684</v>
      </c>
      <c r="U215" s="215">
        <v>37457</v>
      </c>
      <c r="V215" s="113">
        <v>239.77</v>
      </c>
      <c r="W215" s="113">
        <f t="shared" si="41"/>
        <v>8981064.8900000006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5"/>
        <v>91</v>
      </c>
      <c r="AM215" s="121">
        <f t="shared" si="46"/>
        <v>1671079501</v>
      </c>
      <c r="AN215" s="121" t="s">
        <v>4743</v>
      </c>
    </row>
    <row r="216" spans="16:45">
      <c r="T216" s="215" t="s">
        <v>3684</v>
      </c>
      <c r="U216" s="215">
        <v>37457</v>
      </c>
      <c r="V216" s="113">
        <v>239.77</v>
      </c>
      <c r="W216" s="113">
        <f t="shared" si="41"/>
        <v>8981064.8900000006</v>
      </c>
      <c r="X216" s="99" t="s">
        <v>452</v>
      </c>
      <c r="AH216" s="121">
        <v>35</v>
      </c>
      <c r="AI216" s="121" t="s">
        <v>4749</v>
      </c>
      <c r="AJ216" s="79">
        <v>23622417</v>
      </c>
      <c r="AK216" s="121">
        <v>5</v>
      </c>
      <c r="AL216" s="121">
        <f t="shared" si="45"/>
        <v>90</v>
      </c>
      <c r="AM216" s="121">
        <f t="shared" ref="AM216:AM219" si="47">AJ216*AL216</f>
        <v>2126017530</v>
      </c>
      <c r="AN216" s="121" t="s">
        <v>4755</v>
      </c>
      <c r="AS216" t="s">
        <v>25</v>
      </c>
    </row>
    <row r="217" spans="16:45">
      <c r="Q217" s="96"/>
      <c r="R217" s="96" t="s">
        <v>25</v>
      </c>
      <c r="T217" s="215" t="s">
        <v>4749</v>
      </c>
      <c r="U217" s="215">
        <v>38412</v>
      </c>
      <c r="V217" s="113">
        <v>239.03</v>
      </c>
      <c r="W217" s="113">
        <f t="shared" si="41"/>
        <v>9181620.3599999994</v>
      </c>
      <c r="X217" s="99" t="s">
        <v>751</v>
      </c>
      <c r="AH217" s="121">
        <v>36</v>
      </c>
      <c r="AI217" s="121" t="s">
        <v>4771</v>
      </c>
      <c r="AJ217" s="79">
        <v>82496108</v>
      </c>
      <c r="AK217" s="121">
        <v>1</v>
      </c>
      <c r="AL217" s="121">
        <f t="shared" si="45"/>
        <v>85</v>
      </c>
      <c r="AM217" s="121">
        <f t="shared" si="47"/>
        <v>7012169180</v>
      </c>
      <c r="AN217" s="121" t="s">
        <v>4774</v>
      </c>
    </row>
    <row r="218" spans="16:45">
      <c r="Q218" s="96"/>
      <c r="R218" s="96"/>
      <c r="T218" s="215" t="s">
        <v>4749</v>
      </c>
      <c r="U218" s="215">
        <v>38412</v>
      </c>
      <c r="V218" s="113">
        <v>239.03</v>
      </c>
      <c r="W218" s="113">
        <f t="shared" si="41"/>
        <v>9181620.3599999994</v>
      </c>
      <c r="X218" s="99" t="s">
        <v>452</v>
      </c>
      <c r="AH218" s="121">
        <v>37</v>
      </c>
      <c r="AI218" s="121" t="s">
        <v>4773</v>
      </c>
      <c r="AJ218" s="79">
        <v>74657561</v>
      </c>
      <c r="AK218" s="121">
        <v>16</v>
      </c>
      <c r="AL218" s="121">
        <f t="shared" si="45"/>
        <v>84</v>
      </c>
      <c r="AM218" s="121">
        <f t="shared" si="47"/>
        <v>6271235124</v>
      </c>
      <c r="AN218" s="121" t="s">
        <v>4781</v>
      </c>
    </row>
    <row r="219" spans="16:45">
      <c r="T219" s="215" t="s">
        <v>4756</v>
      </c>
      <c r="U219" s="215">
        <v>49555</v>
      </c>
      <c r="V219" s="113">
        <v>238.345</v>
      </c>
      <c r="W219" s="113">
        <f t="shared" si="41"/>
        <v>11811186.475</v>
      </c>
      <c r="X219" s="99" t="s">
        <v>751</v>
      </c>
      <c r="AH219" s="99">
        <v>38</v>
      </c>
      <c r="AI219" s="99" t="s">
        <v>4865</v>
      </c>
      <c r="AJ219" s="117">
        <v>665000</v>
      </c>
      <c r="AK219" s="99">
        <v>0</v>
      </c>
      <c r="AL219" s="99">
        <f t="shared" si="45"/>
        <v>68</v>
      </c>
      <c r="AM219" s="20">
        <f t="shared" si="47"/>
        <v>45220000</v>
      </c>
      <c r="AN219" s="99"/>
    </row>
    <row r="220" spans="16:45">
      <c r="Q220" s="99" t="s">
        <v>751</v>
      </c>
      <c r="R220" s="99"/>
      <c r="T220" s="215" t="s">
        <v>4756</v>
      </c>
      <c r="U220" s="215">
        <v>49555</v>
      </c>
      <c r="V220" s="113">
        <v>238.345</v>
      </c>
      <c r="W220" s="113">
        <f t="shared" si="41"/>
        <v>11811186.475</v>
      </c>
      <c r="X220" s="99" t="s">
        <v>452</v>
      </c>
      <c r="AH220" s="149">
        <v>39</v>
      </c>
      <c r="AI220" s="149" t="s">
        <v>4865</v>
      </c>
      <c r="AJ220" s="189">
        <v>665000</v>
      </c>
      <c r="AK220" s="149">
        <v>4</v>
      </c>
      <c r="AL220" s="196">
        <f t="shared" si="45"/>
        <v>68</v>
      </c>
      <c r="AM220" s="196">
        <f t="shared" ref="AM220:AM221" si="48">AJ220*AL220</f>
        <v>45220000</v>
      </c>
      <c r="AN220" s="196"/>
    </row>
    <row r="221" spans="16:45">
      <c r="Q221" s="99" t="s">
        <v>4444</v>
      </c>
      <c r="R221" s="95">
        <v>172908000</v>
      </c>
      <c r="T221" s="215" t="s">
        <v>4773</v>
      </c>
      <c r="U221" s="215">
        <v>160187</v>
      </c>
      <c r="V221" s="113">
        <v>257.49799999999999</v>
      </c>
      <c r="W221" s="113">
        <f t="shared" si="41"/>
        <v>41247832.126000002</v>
      </c>
      <c r="X221" s="99" t="s">
        <v>751</v>
      </c>
      <c r="AH221" s="20">
        <v>40</v>
      </c>
      <c r="AI221" s="20" t="s">
        <v>4879</v>
      </c>
      <c r="AJ221" s="117">
        <v>2000000</v>
      </c>
      <c r="AK221" s="20">
        <v>1</v>
      </c>
      <c r="AL221" s="99">
        <f t="shared" si="45"/>
        <v>64</v>
      </c>
      <c r="AM221" s="20">
        <f t="shared" si="48"/>
        <v>128000000</v>
      </c>
      <c r="AN221" s="99"/>
    </row>
    <row r="222" spans="16:45">
      <c r="Q222" s="99" t="s">
        <v>4485</v>
      </c>
      <c r="R222" s="95">
        <v>1400000</v>
      </c>
      <c r="T222" s="215" t="s">
        <v>4773</v>
      </c>
      <c r="U222" s="215">
        <v>160187</v>
      </c>
      <c r="V222" s="113">
        <v>257.49799999999999</v>
      </c>
      <c r="W222" s="113">
        <f t="shared" si="41"/>
        <v>41247832.126000002</v>
      </c>
      <c r="X222" s="99" t="s">
        <v>452</v>
      </c>
      <c r="AH222" s="20">
        <v>41</v>
      </c>
      <c r="AI222" s="20" t="s">
        <v>4884</v>
      </c>
      <c r="AJ222" s="117">
        <v>-2060725</v>
      </c>
      <c r="AK222" s="20">
        <v>0</v>
      </c>
      <c r="AL222" s="99">
        <f t="shared" si="45"/>
        <v>63</v>
      </c>
      <c r="AM222" s="20">
        <f t="shared" ref="AM222:AM227" si="49">AJ222*AL222</f>
        <v>-129825675</v>
      </c>
      <c r="AN222" s="99" t="s">
        <v>4885</v>
      </c>
    </row>
    <row r="223" spans="16:45">
      <c r="Q223" s="99" t="s">
        <v>4232</v>
      </c>
      <c r="R223" s="95">
        <v>247393</v>
      </c>
      <c r="S223" t="s">
        <v>25</v>
      </c>
      <c r="T223" s="215" t="s">
        <v>4782</v>
      </c>
      <c r="U223" s="215">
        <v>144401</v>
      </c>
      <c r="V223" s="113">
        <v>258.5061</v>
      </c>
      <c r="W223" s="113">
        <f t="shared" si="41"/>
        <v>37328539.346100003</v>
      </c>
      <c r="X223" s="99" t="s">
        <v>751</v>
      </c>
      <c r="AH223" s="149">
        <v>42</v>
      </c>
      <c r="AI223" s="149" t="s">
        <v>4884</v>
      </c>
      <c r="AJ223" s="189">
        <v>-433375</v>
      </c>
      <c r="AK223" s="149">
        <v>0</v>
      </c>
      <c r="AL223" s="149">
        <f t="shared" si="45"/>
        <v>63</v>
      </c>
      <c r="AM223" s="149">
        <f t="shared" si="49"/>
        <v>-27302625</v>
      </c>
      <c r="AN223" s="149" t="s">
        <v>4886</v>
      </c>
    </row>
    <row r="224" spans="16:45">
      <c r="Q224" s="99" t="s">
        <v>4231</v>
      </c>
      <c r="R224" s="95">
        <v>6780000</v>
      </c>
      <c r="T224" s="215" t="s">
        <v>4782</v>
      </c>
      <c r="U224" s="215">
        <v>144401</v>
      </c>
      <c r="V224" s="113">
        <v>258.5061</v>
      </c>
      <c r="W224" s="113">
        <f t="shared" si="41"/>
        <v>37328539.346100003</v>
      </c>
      <c r="X224" s="99" t="s">
        <v>452</v>
      </c>
      <c r="Z224" t="s">
        <v>25</v>
      </c>
      <c r="AH224" s="20">
        <v>43</v>
      </c>
      <c r="AI224" s="20" t="s">
        <v>4884</v>
      </c>
      <c r="AJ224" s="117">
        <v>28000000</v>
      </c>
      <c r="AK224" s="20">
        <v>1</v>
      </c>
      <c r="AL224" s="99">
        <f t="shared" si="45"/>
        <v>63</v>
      </c>
      <c r="AM224" s="20">
        <f t="shared" si="49"/>
        <v>1764000000</v>
      </c>
      <c r="AN224" s="99" t="s">
        <v>3891</v>
      </c>
    </row>
    <row r="225" spans="17:44">
      <c r="Q225" s="99" t="s">
        <v>4595</v>
      </c>
      <c r="R225" s="95">
        <v>-4000000</v>
      </c>
      <c r="T225" s="168" t="s">
        <v>4791</v>
      </c>
      <c r="U225" s="168">
        <v>196500</v>
      </c>
      <c r="V225" s="113">
        <v>254.452</v>
      </c>
      <c r="W225" s="113">
        <f t="shared" si="41"/>
        <v>49999818</v>
      </c>
      <c r="X225" s="99" t="s">
        <v>4798</v>
      </c>
      <c r="AH225" s="20">
        <v>44</v>
      </c>
      <c r="AI225" s="20" t="s">
        <v>4894</v>
      </c>
      <c r="AJ225" s="117">
        <v>160000</v>
      </c>
      <c r="AK225" s="20">
        <v>0</v>
      </c>
      <c r="AL225" s="99">
        <f t="shared" si="45"/>
        <v>62</v>
      </c>
      <c r="AM225" s="20">
        <f t="shared" si="49"/>
        <v>9920000</v>
      </c>
      <c r="AN225" s="99"/>
    </row>
    <row r="226" spans="17:44">
      <c r="Q226" s="99" t="s">
        <v>4627</v>
      </c>
      <c r="R226" s="95">
        <v>16727037</v>
      </c>
      <c r="T226" s="215" t="s">
        <v>4791</v>
      </c>
      <c r="U226" s="215">
        <v>2561</v>
      </c>
      <c r="V226" s="113">
        <v>254.536</v>
      </c>
      <c r="W226" s="113">
        <f t="shared" si="41"/>
        <v>651866.696</v>
      </c>
      <c r="X226" s="99" t="s">
        <v>4799</v>
      </c>
      <c r="Y226" t="s">
        <v>25</v>
      </c>
      <c r="AH226" s="149">
        <v>45</v>
      </c>
      <c r="AI226" s="149" t="s">
        <v>4894</v>
      </c>
      <c r="AJ226" s="189">
        <v>70000</v>
      </c>
      <c r="AK226" s="149">
        <v>9</v>
      </c>
      <c r="AL226" s="149">
        <f t="shared" si="45"/>
        <v>62</v>
      </c>
      <c r="AM226" s="149">
        <f t="shared" si="49"/>
        <v>4340000</v>
      </c>
      <c r="AN226" s="149"/>
    </row>
    <row r="227" spans="17:44">
      <c r="Q227" s="99" t="s">
        <v>4633</v>
      </c>
      <c r="R227" s="95">
        <v>46460683</v>
      </c>
      <c r="S227" t="s">
        <v>25</v>
      </c>
      <c r="T227" s="215" t="s">
        <v>4848</v>
      </c>
      <c r="U227" s="215">
        <v>-11795</v>
      </c>
      <c r="V227" s="113">
        <v>254.334</v>
      </c>
      <c r="W227" s="113">
        <f t="shared" si="41"/>
        <v>-2999869.5300000003</v>
      </c>
      <c r="X227" s="99" t="s">
        <v>4849</v>
      </c>
      <c r="AH227" s="20">
        <v>46</v>
      </c>
      <c r="AI227" s="20" t="s">
        <v>4907</v>
      </c>
      <c r="AJ227" s="117">
        <v>850000</v>
      </c>
      <c r="AK227" s="20">
        <v>0</v>
      </c>
      <c r="AL227" s="99">
        <f t="shared" si="45"/>
        <v>53</v>
      </c>
      <c r="AM227" s="20">
        <f t="shared" si="49"/>
        <v>45050000</v>
      </c>
      <c r="AN227" s="99"/>
    </row>
    <row r="228" spans="17:44">
      <c r="Q228" s="99" t="s">
        <v>4636</v>
      </c>
      <c r="R228" s="95">
        <v>19663646</v>
      </c>
      <c r="T228" s="215" t="s">
        <v>4848</v>
      </c>
      <c r="U228" s="215">
        <v>11795</v>
      </c>
      <c r="V228" s="113">
        <v>254.334</v>
      </c>
      <c r="W228" s="113">
        <f t="shared" si="41"/>
        <v>2999869.5300000003</v>
      </c>
      <c r="X228" s="99" t="s">
        <v>4850</v>
      </c>
      <c r="Y228" s="96"/>
      <c r="AH228" s="196">
        <v>47</v>
      </c>
      <c r="AI228" s="196" t="s">
        <v>4907</v>
      </c>
      <c r="AJ228" s="197">
        <v>20000</v>
      </c>
      <c r="AK228" s="196">
        <v>4</v>
      </c>
      <c r="AL228" s="196">
        <f t="shared" ref="AL228:AL249" si="50">AK228+AL229</f>
        <v>53</v>
      </c>
      <c r="AM228" s="196">
        <f t="shared" ref="AM228:AM249" si="51">AJ228*AL228</f>
        <v>1060000</v>
      </c>
      <c r="AN228" s="196"/>
      <c r="AQ228" t="s">
        <v>25</v>
      </c>
    </row>
    <row r="229" spans="17:44">
      <c r="Q229" s="99" t="s">
        <v>4663</v>
      </c>
      <c r="R229" s="95">
        <v>4374525</v>
      </c>
      <c r="T229" s="215" t="s">
        <v>4865</v>
      </c>
      <c r="U229" s="215">
        <v>260</v>
      </c>
      <c r="V229" s="113">
        <v>263.19</v>
      </c>
      <c r="W229" s="113">
        <f t="shared" si="41"/>
        <v>68429.399999999994</v>
      </c>
      <c r="X229" s="99" t="s">
        <v>452</v>
      </c>
      <c r="Y229" t="s">
        <v>25</v>
      </c>
      <c r="AH229" s="196">
        <v>48</v>
      </c>
      <c r="AI229" s="196" t="s">
        <v>4920</v>
      </c>
      <c r="AJ229" s="197">
        <v>30000000</v>
      </c>
      <c r="AK229" s="196">
        <v>27</v>
      </c>
      <c r="AL229" s="196">
        <f t="shared" si="50"/>
        <v>49</v>
      </c>
      <c r="AM229" s="196">
        <f t="shared" si="51"/>
        <v>1470000000</v>
      </c>
      <c r="AN229" s="196" t="s">
        <v>4922</v>
      </c>
    </row>
    <row r="230" spans="17:44">
      <c r="Q230" s="99" t="s">
        <v>4678</v>
      </c>
      <c r="R230" s="95">
        <v>6550580</v>
      </c>
      <c r="T230" s="215" t="s">
        <v>4879</v>
      </c>
      <c r="U230" s="215">
        <v>15257</v>
      </c>
      <c r="V230" s="113">
        <v>262.19018</v>
      </c>
      <c r="W230" s="113">
        <f t="shared" si="41"/>
        <v>4000235.57626</v>
      </c>
      <c r="X230" s="99" t="s">
        <v>452</v>
      </c>
      <c r="AH230" s="20">
        <v>49</v>
      </c>
      <c r="AI230" s="20" t="s">
        <v>5014</v>
      </c>
      <c r="AJ230" s="117">
        <v>1100000</v>
      </c>
      <c r="AK230" s="20">
        <v>1</v>
      </c>
      <c r="AL230" s="20">
        <f t="shared" si="50"/>
        <v>22</v>
      </c>
      <c r="AM230" s="20">
        <f t="shared" si="51"/>
        <v>24200000</v>
      </c>
      <c r="AN230" s="20"/>
    </row>
    <row r="231" spans="17:44">
      <c r="Q231" s="99" t="s">
        <v>4681</v>
      </c>
      <c r="R231" s="95">
        <v>6650895</v>
      </c>
      <c r="T231" s="215" t="s">
        <v>4879</v>
      </c>
      <c r="U231" s="215">
        <v>8444</v>
      </c>
      <c r="V231" s="113">
        <v>266.43029999999999</v>
      </c>
      <c r="W231" s="113">
        <f t="shared" si="41"/>
        <v>2249737.4531999999</v>
      </c>
      <c r="X231" s="99" t="s">
        <v>452</v>
      </c>
      <c r="AH231" s="20">
        <v>50</v>
      </c>
      <c r="AI231" s="20" t="s">
        <v>5016</v>
      </c>
      <c r="AJ231" s="117">
        <v>450000</v>
      </c>
      <c r="AK231" s="20">
        <v>0</v>
      </c>
      <c r="AL231" s="20">
        <f t="shared" si="50"/>
        <v>21</v>
      </c>
      <c r="AM231" s="20">
        <f t="shared" si="51"/>
        <v>9450000</v>
      </c>
      <c r="AN231" s="20"/>
    </row>
    <row r="232" spans="17:44">
      <c r="Q232" s="99" t="s">
        <v>4709</v>
      </c>
      <c r="R232" s="95">
        <v>2145814</v>
      </c>
      <c r="T232" s="215" t="s">
        <v>4884</v>
      </c>
      <c r="U232" s="215">
        <v>-6209</v>
      </c>
      <c r="V232" s="113">
        <v>273.79649999999998</v>
      </c>
      <c r="W232" s="113">
        <f t="shared" si="41"/>
        <v>-1700002.4685</v>
      </c>
      <c r="X232" s="99" t="s">
        <v>4896</v>
      </c>
      <c r="AH232" s="149">
        <v>51</v>
      </c>
      <c r="AI232" s="149" t="s">
        <v>5016</v>
      </c>
      <c r="AJ232" s="189">
        <v>550000</v>
      </c>
      <c r="AK232" s="149">
        <v>1</v>
      </c>
      <c r="AL232" s="149">
        <f t="shared" si="50"/>
        <v>21</v>
      </c>
      <c r="AM232" s="149">
        <f t="shared" si="51"/>
        <v>11550000</v>
      </c>
      <c r="AN232" s="149"/>
    </row>
    <row r="233" spans="17:44">
      <c r="Q233" s="99" t="s">
        <v>4722</v>
      </c>
      <c r="R233" s="95">
        <v>4369730</v>
      </c>
      <c r="T233" s="215" t="s">
        <v>4884</v>
      </c>
      <c r="U233" s="215">
        <v>-8014</v>
      </c>
      <c r="V233" s="113">
        <v>273.79649999999998</v>
      </c>
      <c r="W233" s="113">
        <f t="shared" si="41"/>
        <v>-2194205.1510000001</v>
      </c>
      <c r="X233" s="99" t="s">
        <v>751</v>
      </c>
      <c r="AH233" s="149">
        <v>52</v>
      </c>
      <c r="AI233" s="149" t="s">
        <v>5018</v>
      </c>
      <c r="AJ233" s="189">
        <v>1000000</v>
      </c>
      <c r="AK233" s="149">
        <v>8</v>
      </c>
      <c r="AL233" s="149">
        <f t="shared" si="50"/>
        <v>20</v>
      </c>
      <c r="AM233" s="149">
        <f t="shared" si="51"/>
        <v>20000000</v>
      </c>
      <c r="AN233" s="149"/>
    </row>
    <row r="234" spans="17:44">
      <c r="Q234" s="99" t="s">
        <v>4726</v>
      </c>
      <c r="R234" s="95">
        <v>8739459</v>
      </c>
      <c r="S234" t="s">
        <v>25</v>
      </c>
      <c r="T234" s="215" t="s">
        <v>4894</v>
      </c>
      <c r="U234" s="215">
        <v>-9176</v>
      </c>
      <c r="V234" s="113">
        <v>273.79649999999998</v>
      </c>
      <c r="W234" s="113">
        <f t="shared" si="41"/>
        <v>-2512356.6839999999</v>
      </c>
      <c r="X234" s="99" t="s">
        <v>452</v>
      </c>
      <c r="AH234" s="20">
        <v>53</v>
      </c>
      <c r="AI234" s="20" t="s">
        <v>5031</v>
      </c>
      <c r="AJ234" s="117">
        <v>-2668880</v>
      </c>
      <c r="AK234" s="20">
        <v>0</v>
      </c>
      <c r="AL234" s="20">
        <f t="shared" si="50"/>
        <v>12</v>
      </c>
      <c r="AM234" s="20">
        <f t="shared" si="51"/>
        <v>-32026560</v>
      </c>
      <c r="AN234" s="20" t="s">
        <v>5034</v>
      </c>
    </row>
    <row r="235" spans="17:44">
      <c r="Q235" s="99" t="s">
        <v>4736</v>
      </c>
      <c r="R235" s="95">
        <v>6667654</v>
      </c>
      <c r="T235" s="215" t="s">
        <v>4894</v>
      </c>
      <c r="U235" s="215">
        <v>1087</v>
      </c>
      <c r="V235" s="113">
        <v>273.79649999999998</v>
      </c>
      <c r="W235" s="113">
        <f t="shared" si="41"/>
        <v>297616.79550000001</v>
      </c>
      <c r="X235" s="99" t="s">
        <v>452</v>
      </c>
      <c r="AH235" s="149">
        <v>54</v>
      </c>
      <c r="AI235" s="149" t="s">
        <v>5031</v>
      </c>
      <c r="AJ235" s="189">
        <v>-1528620</v>
      </c>
      <c r="AK235" s="149">
        <v>0</v>
      </c>
      <c r="AL235" s="149">
        <f t="shared" si="50"/>
        <v>12</v>
      </c>
      <c r="AM235" s="149">
        <f t="shared" si="51"/>
        <v>-18343440</v>
      </c>
      <c r="AN235" s="149" t="s">
        <v>5034</v>
      </c>
    </row>
    <row r="236" spans="17:44">
      <c r="Q236" s="99" t="s">
        <v>4744</v>
      </c>
      <c r="R236" s="95">
        <v>8981245</v>
      </c>
      <c r="T236" s="215" t="s">
        <v>981</v>
      </c>
      <c r="U236" s="215">
        <v>-4017</v>
      </c>
      <c r="V236" s="113">
        <v>273.79649999999998</v>
      </c>
      <c r="W236" s="113">
        <f t="shared" si="41"/>
        <v>-1099840.5404999999</v>
      </c>
      <c r="X236" s="99" t="s">
        <v>4451</v>
      </c>
      <c r="AH236" s="20">
        <v>55</v>
      </c>
      <c r="AI236" s="20" t="s">
        <v>5031</v>
      </c>
      <c r="AJ236" s="117">
        <v>50000000</v>
      </c>
      <c r="AK236" s="20">
        <v>4</v>
      </c>
      <c r="AL236" s="20">
        <f t="shared" si="50"/>
        <v>12</v>
      </c>
      <c r="AM236" s="20">
        <f t="shared" si="51"/>
        <v>600000000</v>
      </c>
      <c r="AN236" s="20"/>
      <c r="AR236" t="s">
        <v>25</v>
      </c>
    </row>
    <row r="237" spans="17:44">
      <c r="Q237" s="99" t="s">
        <v>4749</v>
      </c>
      <c r="R237" s="95">
        <v>9181756</v>
      </c>
      <c r="T237" s="215" t="s">
        <v>981</v>
      </c>
      <c r="U237" s="215">
        <v>4017</v>
      </c>
      <c r="V237" s="113">
        <v>273.79649999999998</v>
      </c>
      <c r="W237" s="113">
        <f t="shared" si="41"/>
        <v>1099840.5404999999</v>
      </c>
      <c r="X237" s="99" t="s">
        <v>452</v>
      </c>
      <c r="AH237" s="20">
        <v>56</v>
      </c>
      <c r="AI237" s="20" t="s">
        <v>5040</v>
      </c>
      <c r="AJ237" s="117">
        <v>400000</v>
      </c>
      <c r="AK237" s="20">
        <v>4</v>
      </c>
      <c r="AL237" s="20">
        <f t="shared" ref="AL237:AL248" si="52">AK237+AL238</f>
        <v>8</v>
      </c>
      <c r="AM237" s="20">
        <f t="shared" ref="AM237:AM248" si="53">AJ237*AL237</f>
        <v>3200000</v>
      </c>
      <c r="AN237" s="20"/>
      <c r="AR237" t="s">
        <v>25</v>
      </c>
    </row>
    <row r="238" spans="17:44">
      <c r="Q238" s="99" t="s">
        <v>4756</v>
      </c>
      <c r="R238" s="95">
        <v>11811208</v>
      </c>
      <c r="S238" t="s">
        <v>25</v>
      </c>
      <c r="T238" s="215" t="s">
        <v>4907</v>
      </c>
      <c r="U238" s="215">
        <v>3137</v>
      </c>
      <c r="V238" s="113">
        <v>283.69110000000001</v>
      </c>
      <c r="W238" s="113">
        <f t="shared" si="41"/>
        <v>889938.98070000007</v>
      </c>
      <c r="X238" s="99" t="s">
        <v>452</v>
      </c>
      <c r="AH238" s="20">
        <v>57</v>
      </c>
      <c r="AI238" s="20" t="s">
        <v>5068</v>
      </c>
      <c r="AJ238" s="117">
        <v>2000000</v>
      </c>
      <c r="AK238" s="20">
        <v>3</v>
      </c>
      <c r="AL238" s="20">
        <f t="shared" si="52"/>
        <v>4</v>
      </c>
      <c r="AM238" s="20">
        <f t="shared" si="53"/>
        <v>8000000</v>
      </c>
      <c r="AN238" s="20"/>
    </row>
    <row r="239" spans="17:44">
      <c r="Q239" s="99" t="s">
        <v>4773</v>
      </c>
      <c r="R239" s="95">
        <v>41248054</v>
      </c>
      <c r="S239" t="s">
        <v>25</v>
      </c>
      <c r="T239" s="215" t="s">
        <v>4920</v>
      </c>
      <c r="U239" s="215">
        <v>101933</v>
      </c>
      <c r="V239" s="113">
        <v>294.30973999999998</v>
      </c>
      <c r="W239" s="113">
        <f t="shared" si="41"/>
        <v>29999874.727419998</v>
      </c>
      <c r="X239" s="99" t="s">
        <v>1087</v>
      </c>
      <c r="AH239" s="20">
        <v>58</v>
      </c>
      <c r="AI239" s="20" t="s">
        <v>5072</v>
      </c>
      <c r="AJ239" s="117">
        <v>100000</v>
      </c>
      <c r="AK239" s="20">
        <v>1</v>
      </c>
      <c r="AL239" s="20">
        <f t="shared" si="52"/>
        <v>1</v>
      </c>
      <c r="AM239" s="20">
        <f t="shared" si="53"/>
        <v>100000</v>
      </c>
      <c r="AN239" s="20" t="s">
        <v>3891</v>
      </c>
    </row>
    <row r="240" spans="17:44">
      <c r="Q240" s="99" t="s">
        <v>4782</v>
      </c>
      <c r="R240" s="95">
        <v>37328780</v>
      </c>
      <c r="T240" s="215" t="s">
        <v>4932</v>
      </c>
      <c r="U240" s="215">
        <v>3407</v>
      </c>
      <c r="V240" s="113">
        <v>293.43799999999999</v>
      </c>
      <c r="W240" s="113">
        <f t="shared" si="41"/>
        <v>999743.26599999995</v>
      </c>
      <c r="X240" s="99" t="s">
        <v>452</v>
      </c>
      <c r="AH240" s="20"/>
      <c r="AI240" s="20"/>
      <c r="AJ240" s="117"/>
      <c r="AK240" s="20"/>
      <c r="AL240" s="20">
        <f t="shared" si="52"/>
        <v>0</v>
      </c>
      <c r="AM240" s="20">
        <f t="shared" si="53"/>
        <v>0</v>
      </c>
      <c r="AN240" s="20"/>
    </row>
    <row r="241" spans="17:43">
      <c r="Q241" s="99" t="s">
        <v>4884</v>
      </c>
      <c r="R241" s="95">
        <v>-2194100</v>
      </c>
      <c r="T241" s="215" t="s">
        <v>4933</v>
      </c>
      <c r="U241" s="215">
        <v>68796</v>
      </c>
      <c r="V241" s="113">
        <v>293.53250000000003</v>
      </c>
      <c r="W241" s="113">
        <f t="shared" si="41"/>
        <v>20193861.870000001</v>
      </c>
      <c r="X241" s="99" t="s">
        <v>751</v>
      </c>
      <c r="AH241" s="20"/>
      <c r="AI241" s="20"/>
      <c r="AJ241" s="117"/>
      <c r="AK241" s="20"/>
      <c r="AL241" s="20">
        <f t="shared" si="52"/>
        <v>0</v>
      </c>
      <c r="AM241" s="20">
        <f t="shared" si="53"/>
        <v>0</v>
      </c>
      <c r="AN241" s="20"/>
    </row>
    <row r="242" spans="17:43">
      <c r="Q242" s="99" t="s">
        <v>4933</v>
      </c>
      <c r="R242" s="95">
        <v>20193916</v>
      </c>
      <c r="T242" s="215" t="s">
        <v>4933</v>
      </c>
      <c r="U242" s="215">
        <v>154791</v>
      </c>
      <c r="V242" s="113">
        <v>293.53250000000003</v>
      </c>
      <c r="W242" s="113">
        <f t="shared" si="41"/>
        <v>45436189.207500003</v>
      </c>
      <c r="X242" s="99" t="s">
        <v>452</v>
      </c>
      <c r="AH242" s="20"/>
      <c r="AI242" s="20"/>
      <c r="AJ242" s="117"/>
      <c r="AK242" s="20"/>
      <c r="AL242" s="20">
        <f t="shared" si="52"/>
        <v>0</v>
      </c>
      <c r="AM242" s="20">
        <f t="shared" si="53"/>
        <v>0</v>
      </c>
      <c r="AN242" s="20"/>
    </row>
    <row r="243" spans="17:43">
      <c r="Q243" s="99" t="s">
        <v>5020</v>
      </c>
      <c r="R243" s="95">
        <v>-2000000</v>
      </c>
      <c r="T243" s="215" t="s">
        <v>4933</v>
      </c>
      <c r="U243" s="215">
        <v>-11923</v>
      </c>
      <c r="V243" s="113">
        <v>293.53250000000003</v>
      </c>
      <c r="W243" s="113">
        <f t="shared" si="41"/>
        <v>-3499787.9975000005</v>
      </c>
      <c r="X243" s="99" t="s">
        <v>452</v>
      </c>
      <c r="AH243" s="20"/>
      <c r="AI243" s="20"/>
      <c r="AJ243" s="117"/>
      <c r="AK243" s="20"/>
      <c r="AL243" s="20">
        <f t="shared" si="52"/>
        <v>0</v>
      </c>
      <c r="AM243" s="20">
        <f t="shared" si="53"/>
        <v>0</v>
      </c>
      <c r="AN243" s="20"/>
    </row>
    <row r="244" spans="17:43">
      <c r="Q244" s="99"/>
      <c r="R244" s="95"/>
      <c r="T244" s="215" t="s">
        <v>4952</v>
      </c>
      <c r="U244" s="215">
        <v>8424</v>
      </c>
      <c r="V244" s="113">
        <v>299.15170000000001</v>
      </c>
      <c r="W244" s="113">
        <f t="shared" si="41"/>
        <v>2520053.9208</v>
      </c>
      <c r="X244" s="99" t="s">
        <v>452</v>
      </c>
      <c r="AH244" s="20"/>
      <c r="AI244" s="20"/>
      <c r="AJ244" s="117"/>
      <c r="AK244" s="20"/>
      <c r="AL244" s="20">
        <f t="shared" si="52"/>
        <v>0</v>
      </c>
      <c r="AM244" s="20">
        <f t="shared" si="53"/>
        <v>0</v>
      </c>
      <c r="AN244" s="20"/>
    </row>
    <row r="245" spans="17:43">
      <c r="Q245" s="99"/>
      <c r="R245" s="95">
        <f>SUM(R221:R244)</f>
        <v>424236275</v>
      </c>
      <c r="T245" s="215" t="s">
        <v>4991</v>
      </c>
      <c r="U245" s="215">
        <v>15943</v>
      </c>
      <c r="V245" s="113">
        <v>307.34415000000001</v>
      </c>
      <c r="W245" s="113">
        <f t="shared" si="41"/>
        <v>4899987.78345</v>
      </c>
      <c r="X245" s="99" t="s">
        <v>452</v>
      </c>
      <c r="AH245" s="20"/>
      <c r="AI245" s="20"/>
      <c r="AJ245" s="117"/>
      <c r="AK245" s="20"/>
      <c r="AL245" s="20">
        <f t="shared" si="52"/>
        <v>0</v>
      </c>
      <c r="AM245" s="20">
        <f t="shared" si="53"/>
        <v>0</v>
      </c>
      <c r="AN245" s="20"/>
    </row>
    <row r="246" spans="17:43">
      <c r="Q246" s="99"/>
      <c r="R246" s="99" t="s">
        <v>6</v>
      </c>
      <c r="T246" s="215" t="s">
        <v>5014</v>
      </c>
      <c r="U246" s="215">
        <v>3741</v>
      </c>
      <c r="V246" s="113">
        <v>307.34415000000001</v>
      </c>
      <c r="W246" s="113">
        <f t="shared" si="41"/>
        <v>1149774.4651500001</v>
      </c>
      <c r="X246" s="99" t="s">
        <v>452</v>
      </c>
      <c r="AH246" s="20"/>
      <c r="AI246" s="20"/>
      <c r="AJ246" s="117"/>
      <c r="AK246" s="20"/>
      <c r="AL246" s="20">
        <f t="shared" si="52"/>
        <v>0</v>
      </c>
      <c r="AM246" s="20">
        <f t="shared" si="53"/>
        <v>0</v>
      </c>
      <c r="AN246" s="20"/>
    </row>
    <row r="247" spans="17:43">
      <c r="S247" t="s">
        <v>25</v>
      </c>
      <c r="T247" s="215" t="s">
        <v>5020</v>
      </c>
      <c r="U247" s="215">
        <v>-6207</v>
      </c>
      <c r="V247" s="113">
        <v>322.214</v>
      </c>
      <c r="W247" s="113">
        <f t="shared" si="41"/>
        <v>-1999982.298</v>
      </c>
      <c r="X247" s="99" t="s">
        <v>751</v>
      </c>
      <c r="AH247" s="20"/>
      <c r="AI247" s="20"/>
      <c r="AJ247" s="117"/>
      <c r="AK247" s="20"/>
      <c r="AL247" s="20">
        <f t="shared" si="52"/>
        <v>0</v>
      </c>
      <c r="AM247" s="20">
        <f t="shared" si="53"/>
        <v>0</v>
      </c>
      <c r="AN247" s="20"/>
    </row>
    <row r="248" spans="17:43">
      <c r="T248" s="215" t="s">
        <v>5020</v>
      </c>
      <c r="U248" s="215">
        <v>6207</v>
      </c>
      <c r="V248" s="113">
        <v>322.214</v>
      </c>
      <c r="W248" s="113">
        <f t="shared" si="41"/>
        <v>1999982.298</v>
      </c>
      <c r="X248" s="99" t="s">
        <v>4451</v>
      </c>
      <c r="AH248" s="99"/>
      <c r="AI248" s="99"/>
      <c r="AJ248" s="117"/>
      <c r="AK248" s="99"/>
      <c r="AL248" s="20">
        <f t="shared" si="52"/>
        <v>0</v>
      </c>
      <c r="AM248" s="20">
        <f t="shared" si="53"/>
        <v>0</v>
      </c>
      <c r="AN248" s="20"/>
    </row>
    <row r="249" spans="17:43">
      <c r="Q249" s="99" t="s">
        <v>452</v>
      </c>
      <c r="R249" s="99"/>
      <c r="T249" s="215" t="s">
        <v>4963</v>
      </c>
      <c r="U249" s="215">
        <v>776</v>
      </c>
      <c r="V249" s="113">
        <v>322.214</v>
      </c>
      <c r="W249" s="113">
        <f t="shared" si="41"/>
        <v>250038.06400000001</v>
      </c>
      <c r="X249" s="99" t="s">
        <v>452</v>
      </c>
      <c r="AH249" s="99"/>
      <c r="AI249" s="99"/>
      <c r="AJ249" s="117"/>
      <c r="AK249" s="99"/>
      <c r="AL249" s="99">
        <f t="shared" si="50"/>
        <v>0</v>
      </c>
      <c r="AM249" s="99">
        <f t="shared" si="51"/>
        <v>0</v>
      </c>
      <c r="AN249" s="99"/>
      <c r="AP249" t="s">
        <v>25</v>
      </c>
    </row>
    <row r="250" spans="17:43">
      <c r="Q250" s="99" t="s">
        <v>4444</v>
      </c>
      <c r="R250" s="95">
        <v>63115000</v>
      </c>
      <c r="T250" s="215" t="s">
        <v>5068</v>
      </c>
      <c r="U250" s="215">
        <v>1524</v>
      </c>
      <c r="V250" s="113">
        <v>314.95999999999998</v>
      </c>
      <c r="W250" s="113">
        <f t="shared" si="41"/>
        <v>479999.04</v>
      </c>
      <c r="X250" s="99" t="s">
        <v>1087</v>
      </c>
      <c r="Y250" t="s">
        <v>25</v>
      </c>
      <c r="AH250" s="99"/>
      <c r="AI250" s="99"/>
      <c r="AJ250" s="95">
        <f>SUM(AJ182:AJ249)</f>
        <v>357919598</v>
      </c>
      <c r="AK250" s="99"/>
      <c r="AL250" s="99"/>
      <c r="AM250" s="99">
        <f>SUM(AM182:AM249)</f>
        <v>29370026375</v>
      </c>
      <c r="AN250" s="95">
        <f>AM250*AN168/31</f>
        <v>15790652.567487905</v>
      </c>
    </row>
    <row r="251" spans="17:43">
      <c r="Q251" s="99" t="s">
        <v>4498</v>
      </c>
      <c r="R251" s="95">
        <v>13300000</v>
      </c>
      <c r="T251" s="168"/>
      <c r="U251" s="168"/>
      <c r="V251" s="113"/>
      <c r="W251" s="113"/>
      <c r="X251" s="99"/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 t="s">
        <v>4506</v>
      </c>
      <c r="R252" s="95">
        <v>2269000</v>
      </c>
      <c r="T252" s="168"/>
      <c r="U252" s="168">
        <f>SUM(U183:U251)</f>
        <v>3559194</v>
      </c>
      <c r="V252" s="99"/>
      <c r="W252" s="99"/>
      <c r="X252" s="99"/>
    </row>
    <row r="253" spans="17:43">
      <c r="Q253" s="99" t="s">
        <v>4623</v>
      </c>
      <c r="R253" s="95">
        <v>25071612</v>
      </c>
      <c r="T253" s="99"/>
      <c r="U253" s="99" t="s">
        <v>6</v>
      </c>
      <c r="V253" s="99"/>
      <c r="W253" s="99"/>
      <c r="X253" s="99"/>
      <c r="AI253" t="s">
        <v>4061</v>
      </c>
      <c r="AJ253" s="114">
        <f>AJ250+AN250</f>
        <v>373710250.5674879</v>
      </c>
    </row>
    <row r="254" spans="17:43">
      <c r="Q254" s="99" t="s">
        <v>4633</v>
      </c>
      <c r="R254" s="95">
        <v>42236984</v>
      </c>
      <c r="T254" s="201" t="s">
        <v>4488</v>
      </c>
      <c r="AI254" t="s">
        <v>4064</v>
      </c>
      <c r="AJ254" s="114">
        <f>SUM(N20:N30)</f>
        <v>431255792.10000002</v>
      </c>
    </row>
    <row r="255" spans="17:43">
      <c r="Q255" s="99" t="s">
        <v>4636</v>
      </c>
      <c r="R255" s="95">
        <v>19663646</v>
      </c>
      <c r="T255" s="200">
        <f>R193/U252</f>
        <v>313.02299936446286</v>
      </c>
      <c r="AI255" t="s">
        <v>4136</v>
      </c>
      <c r="AJ255" s="114">
        <f>AJ254-AJ250</f>
        <v>73336194.100000024</v>
      </c>
    </row>
    <row r="256" spans="17:43">
      <c r="Q256" s="99" t="s">
        <v>4663</v>
      </c>
      <c r="R256" s="95">
        <v>4374525</v>
      </c>
      <c r="W256" s="114"/>
      <c r="AI256" t="s">
        <v>943</v>
      </c>
      <c r="AJ256" s="114">
        <f>AN250</f>
        <v>15790652.567487905</v>
      </c>
    </row>
    <row r="257" spans="17:40">
      <c r="Q257" s="99" t="s">
        <v>4678</v>
      </c>
      <c r="R257" s="95">
        <v>6550580</v>
      </c>
      <c r="U257" s="96" t="s">
        <v>267</v>
      </c>
      <c r="V257" t="s">
        <v>4489</v>
      </c>
      <c r="X257" t="s">
        <v>25</v>
      </c>
      <c r="AI257" t="s">
        <v>4065</v>
      </c>
      <c r="AJ257" s="114">
        <f>AJ255-AJ256</f>
        <v>57545541.532512121</v>
      </c>
      <c r="AN257" t="s">
        <v>25</v>
      </c>
    </row>
    <row r="258" spans="17:40">
      <c r="Q258" s="99" t="s">
        <v>4681</v>
      </c>
      <c r="R258" s="95">
        <v>7054895</v>
      </c>
      <c r="T258" s="114"/>
      <c r="U258" s="113">
        <v>480105</v>
      </c>
      <c r="V258">
        <f>U258/T255</f>
        <v>1533.7690871749592</v>
      </c>
      <c r="X258" t="s">
        <v>25</v>
      </c>
      <c r="AN258" t="s">
        <v>25</v>
      </c>
    </row>
    <row r="259" spans="17:40">
      <c r="Q259" s="99" t="s">
        <v>4709</v>
      </c>
      <c r="R259" s="95">
        <v>2145814</v>
      </c>
      <c r="X259" t="s">
        <v>25</v>
      </c>
    </row>
    <row r="260" spans="17:40">
      <c r="Q260" s="99" t="s">
        <v>4722</v>
      </c>
      <c r="R260" s="95">
        <v>4369730</v>
      </c>
      <c r="W260" s="225"/>
      <c r="X260" s="96" t="s">
        <v>25</v>
      </c>
    </row>
    <row r="261" spans="17:40">
      <c r="Q261" s="99" t="s">
        <v>4726</v>
      </c>
      <c r="R261" s="95">
        <v>8739459</v>
      </c>
      <c r="AN261" t="s">
        <v>25</v>
      </c>
    </row>
    <row r="262" spans="17:40">
      <c r="Q262" s="99" t="s">
        <v>4736</v>
      </c>
      <c r="R262" s="95">
        <v>6667654</v>
      </c>
    </row>
    <row r="263" spans="17:40" ht="60">
      <c r="Q263" s="99" t="s">
        <v>3684</v>
      </c>
      <c r="R263" s="95">
        <v>8981245</v>
      </c>
      <c r="T263" s="22" t="s">
        <v>4472</v>
      </c>
      <c r="V263" s="225"/>
    </row>
    <row r="264" spans="17:40" ht="45">
      <c r="Q264" s="99" t="s">
        <v>4749</v>
      </c>
      <c r="R264" s="95">
        <v>9181756</v>
      </c>
      <c r="T264" s="22" t="s">
        <v>4473</v>
      </c>
    </row>
    <row r="265" spans="17:40">
      <c r="Q265" s="99" t="s">
        <v>4756</v>
      </c>
      <c r="R265" s="95">
        <v>11811208</v>
      </c>
    </row>
    <row r="266" spans="17:40">
      <c r="Q266" s="99" t="s">
        <v>4773</v>
      </c>
      <c r="R266" s="95">
        <v>41248054</v>
      </c>
    </row>
    <row r="267" spans="17:40">
      <c r="Q267" s="99" t="s">
        <v>4782</v>
      </c>
      <c r="R267" s="95">
        <v>37328780</v>
      </c>
      <c r="T267" s="99" t="s">
        <v>4490</v>
      </c>
      <c r="U267" s="99" t="s">
        <v>4461</v>
      </c>
      <c r="V267" s="99" t="s">
        <v>953</v>
      </c>
      <c r="Y267" t="s">
        <v>25</v>
      </c>
    </row>
    <row r="268" spans="17:40">
      <c r="Q268" s="99" t="s">
        <v>4791</v>
      </c>
      <c r="R268" s="95">
        <v>50000000</v>
      </c>
      <c r="T268" s="95">
        <f>R214+R245+R284</f>
        <v>889879325</v>
      </c>
      <c r="U268" s="95">
        <f>R193</f>
        <v>1114109581.2</v>
      </c>
      <c r="V268" s="95">
        <f>U268-T268</f>
        <v>224230256.20000005</v>
      </c>
    </row>
    <row r="269" spans="17:40">
      <c r="Q269" s="99" t="s">
        <v>4865</v>
      </c>
      <c r="R269" s="95">
        <v>68656</v>
      </c>
    </row>
    <row r="270" spans="17:40">
      <c r="Q270" s="99" t="s">
        <v>4879</v>
      </c>
      <c r="R270" s="95">
        <v>4000236</v>
      </c>
    </row>
    <row r="271" spans="17:40">
      <c r="Q271" s="99" t="s">
        <v>4879</v>
      </c>
      <c r="R271" s="95">
        <v>2250000</v>
      </c>
    </row>
    <row r="272" spans="17:40">
      <c r="Q272" s="99" t="s">
        <v>4884</v>
      </c>
      <c r="R272" s="95">
        <v>-2512200</v>
      </c>
    </row>
    <row r="273" spans="17:20">
      <c r="Q273" s="99" t="s">
        <v>4894</v>
      </c>
      <c r="R273" s="95">
        <v>300000</v>
      </c>
      <c r="T273" t="s">
        <v>25</v>
      </c>
    </row>
    <row r="274" spans="17:20">
      <c r="Q274" s="99" t="s">
        <v>981</v>
      </c>
      <c r="R274" s="95">
        <v>1100000</v>
      </c>
      <c r="T274" t="s">
        <v>25</v>
      </c>
    </row>
    <row r="275" spans="17:20">
      <c r="Q275" s="99" t="s">
        <v>4907</v>
      </c>
      <c r="R275" s="95">
        <v>890000</v>
      </c>
    </row>
    <row r="276" spans="17:20">
      <c r="Q276" s="99" t="s">
        <v>4932</v>
      </c>
      <c r="R276" s="95">
        <v>1000000</v>
      </c>
      <c r="T276" t="s">
        <v>25</v>
      </c>
    </row>
    <row r="277" spans="17:20">
      <c r="Q277" s="99" t="s">
        <v>4933</v>
      </c>
      <c r="R277" s="95">
        <v>45436311</v>
      </c>
      <c r="T277" t="s">
        <v>25</v>
      </c>
    </row>
    <row r="278" spans="17:20">
      <c r="Q278" s="99" t="s">
        <v>4933</v>
      </c>
      <c r="R278" s="95">
        <v>-3500000</v>
      </c>
    </row>
    <row r="279" spans="17:20">
      <c r="Q279" s="99" t="s">
        <v>4952</v>
      </c>
      <c r="R279" s="95">
        <v>2520000</v>
      </c>
    </row>
    <row r="280" spans="17:20">
      <c r="Q280" s="99" t="s">
        <v>4991</v>
      </c>
      <c r="R280" s="95">
        <v>4900000</v>
      </c>
      <c r="T280" t="s">
        <v>25</v>
      </c>
    </row>
    <row r="281" spans="17:20">
      <c r="Q281" s="99" t="s">
        <v>5014</v>
      </c>
      <c r="R281" s="95">
        <v>1150000</v>
      </c>
      <c r="T281" t="s">
        <v>25</v>
      </c>
    </row>
    <row r="282" spans="17:20">
      <c r="Q282" s="99" t="s">
        <v>4963</v>
      </c>
      <c r="R282" s="95">
        <v>250000</v>
      </c>
    </row>
    <row r="283" spans="17:20">
      <c r="Q283" s="99"/>
      <c r="R283" s="95"/>
      <c r="T283" t="s">
        <v>25</v>
      </c>
    </row>
    <row r="284" spans="17:20">
      <c r="Q284" s="99"/>
      <c r="R284" s="95">
        <f>SUM(R250:R283)</f>
        <v>421962945</v>
      </c>
      <c r="T284" t="s">
        <v>25</v>
      </c>
    </row>
    <row r="285" spans="17:20">
      <c r="Q285" s="99"/>
      <c r="R285" s="99" t="s">
        <v>6</v>
      </c>
    </row>
    <row r="288" spans="17:20">
      <c r="T288" t="s">
        <v>25</v>
      </c>
    </row>
    <row r="289" spans="16:20">
      <c r="T289" t="s">
        <v>25</v>
      </c>
    </row>
    <row r="297" spans="16:20">
      <c r="P297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I112:I119 G110:G111 G130:G1048576 G120:G121 G123 G96:G103">
    <cfRule type="cellIs" dxfId="9" priority="12" operator="lessThan">
      <formula>0</formula>
    </cfRule>
  </conditionalFormatting>
  <conditionalFormatting sqref="G105">
    <cfRule type="cellIs" dxfId="8" priority="3" operator="lessThan">
      <formula>0</formula>
    </cfRule>
  </conditionalFormatting>
  <conditionalFormatting sqref="G106 G108">
    <cfRule type="cellIs" dxfId="7" priority="4" operator="lessThan">
      <formula>0</formula>
    </cfRule>
  </conditionalFormatting>
  <conditionalFormatting sqref="G109">
    <cfRule type="cellIs" dxfId="6" priority="1" operator="lessThan">
      <formula>0</formula>
    </cfRule>
  </conditionalFormatting>
  <conditionalFormatting sqref="G104">
    <cfRule type="cellIs" dxfId="5" priority="5" operator="lessThan">
      <formula>0</formula>
    </cfRule>
  </conditionalFormatting>
  <conditionalFormatting sqref="G10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8 S113 S115:S116 S120 S139 P22 S105 S40 G126 S149:S150 P23 S126 S43 S154 S131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J95" zoomScale="90" zoomScaleNormal="90" workbookViewId="0">
      <selection activeCell="M119" sqref="M119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4643</v>
      </c>
      <c r="AE1" s="168" t="s">
        <v>4644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4618</v>
      </c>
      <c r="L5" s="222">
        <v>0</v>
      </c>
      <c r="M5" s="221">
        <v>3</v>
      </c>
      <c r="N5" s="222">
        <f t="shared" ref="N5" si="3">L5*M5</f>
        <v>0</v>
      </c>
      <c r="O5" s="223" t="s">
        <v>4622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4627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4627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4627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4629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4633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4627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4633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4633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4636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4633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4636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4636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4932</v>
      </c>
      <c r="F12" s="114">
        <v>0</v>
      </c>
      <c r="J12" s="168">
        <v>11</v>
      </c>
      <c r="K12" s="168" t="s">
        <v>4663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4636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4663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4652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4652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4668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4681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4681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4681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4681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4709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4697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4709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4697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4722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4704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4722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4709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4723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4712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4716</v>
      </c>
      <c r="C23" s="99" t="s">
        <v>4717</v>
      </c>
      <c r="D23" s="99" t="s">
        <v>4718</v>
      </c>
      <c r="E23" s="69" t="s">
        <v>4719</v>
      </c>
      <c r="J23" s="215">
        <v>22</v>
      </c>
      <c r="K23" s="215" t="s">
        <v>4723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4712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4668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4723</v>
      </c>
      <c r="L24" s="222">
        <v>4388600</v>
      </c>
      <c r="M24" s="221">
        <v>5</v>
      </c>
      <c r="N24" s="222">
        <f t="shared" si="7"/>
        <v>21943000</v>
      </c>
      <c r="O24" s="223" t="s">
        <v>4737</v>
      </c>
      <c r="W24" s="215" t="s">
        <v>4723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4678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4726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4726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4681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4726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4736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4697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4736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4709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4736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4749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4712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4749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4714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4749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4720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4749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4749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4722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4749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4756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4758</v>
      </c>
    </row>
    <row r="33" spans="1:32">
      <c r="A33" s="99" t="s">
        <v>4723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4771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4756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4726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4771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4756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4736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4773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4773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4773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4773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4749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4932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4773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4756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4932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4782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4764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4782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4771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4782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4773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2" t="s">
        <v>4802</v>
      </c>
      <c r="X41" s="232" t="s">
        <v>4410</v>
      </c>
      <c r="Y41" s="230">
        <v>530.29999999999995</v>
      </c>
      <c r="Z41" s="232">
        <f t="shared" si="9"/>
        <v>24481.99132566472</v>
      </c>
      <c r="AA41" s="232" t="s">
        <v>4395</v>
      </c>
      <c r="AB41" s="232">
        <v>5235</v>
      </c>
      <c r="AC41" s="232">
        <v>2480</v>
      </c>
      <c r="AD41" s="232">
        <f t="shared" si="8"/>
        <v>0.10129894937917859</v>
      </c>
      <c r="AE41" s="232">
        <f t="shared" si="2"/>
        <v>9.8717706958325486</v>
      </c>
      <c r="AF41" s="161"/>
    </row>
    <row r="42" spans="1:32">
      <c r="A42" s="99" t="s">
        <v>4782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4818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4791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3" t="s">
        <v>4823</v>
      </c>
      <c r="X43" s="233" t="s">
        <v>4410</v>
      </c>
      <c r="Y43" s="234">
        <v>538.79999999999995</v>
      </c>
      <c r="Z43" s="233">
        <f t="shared" si="9"/>
        <v>4989.5322939866373</v>
      </c>
      <c r="AA43" s="233" t="s">
        <v>4395</v>
      </c>
      <c r="AB43" s="234">
        <v>5160</v>
      </c>
      <c r="AC43" s="233">
        <v>521</v>
      </c>
      <c r="AD43" s="233">
        <f>Y43/AB43</f>
        <v>0.10441860465116279</v>
      </c>
      <c r="AE43" s="233">
        <f t="shared" si="2"/>
        <v>9.5768374164810695</v>
      </c>
      <c r="AF43" s="235"/>
    </row>
    <row r="44" spans="1:32">
      <c r="A44" s="99" t="s">
        <v>4802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4833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4835</v>
      </c>
    </row>
    <row r="45" spans="1:32">
      <c r="A45" s="99" t="s">
        <v>4813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4833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4818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4859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:AE47" si="11">AB46/Y46</f>
        <v>0.75006019298797988</v>
      </c>
      <c r="AF46" s="99"/>
    </row>
    <row r="47" spans="1:32">
      <c r="A47" s="99" t="s">
        <v>4822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 t="s">
        <v>5040</v>
      </c>
      <c r="X47" s="215" t="s">
        <v>4296</v>
      </c>
      <c r="Y47" s="113">
        <v>362.9</v>
      </c>
      <c r="Z47" s="215">
        <v>1822</v>
      </c>
      <c r="AA47" s="215" t="s">
        <v>4243</v>
      </c>
      <c r="AB47" s="215">
        <v>191.5</v>
      </c>
      <c r="AC47" s="215">
        <v>3409</v>
      </c>
      <c r="AD47" s="215">
        <f>Y47/AB47</f>
        <v>1.8950391644908615</v>
      </c>
      <c r="AE47" s="215">
        <f t="shared" si="11"/>
        <v>0.5276935794984845</v>
      </c>
      <c r="AF47" s="99"/>
    </row>
    <row r="48" spans="1:32">
      <c r="A48" s="99" t="s">
        <v>4823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 t="s">
        <v>5040</v>
      </c>
      <c r="X48" s="215" t="s">
        <v>4296</v>
      </c>
      <c r="Y48" s="113">
        <v>361.4</v>
      </c>
      <c r="Z48" s="215">
        <v>5174</v>
      </c>
      <c r="AA48" s="215" t="s">
        <v>4391</v>
      </c>
      <c r="AB48" s="215">
        <v>3698</v>
      </c>
      <c r="AC48" s="215">
        <v>498</v>
      </c>
      <c r="AD48" s="215">
        <f t="shared" ref="AD48:AD62" si="12">Y48/AB48</f>
        <v>9.7728501892915084E-2</v>
      </c>
      <c r="AE48" s="215">
        <f t="shared" ref="AE48:AE62" si="13">AB48/Y48</f>
        <v>10.232429441062536</v>
      </c>
      <c r="AF48" s="99"/>
    </row>
    <row r="49" spans="1:32">
      <c r="A49" s="99" t="s">
        <v>4833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215" t="s">
        <v>5040</v>
      </c>
      <c r="X49" s="215" t="s">
        <v>4538</v>
      </c>
      <c r="Y49" s="113">
        <v>4909.6000000000004</v>
      </c>
      <c r="Z49" s="215">
        <v>2000</v>
      </c>
      <c r="AA49" s="215" t="s">
        <v>4391</v>
      </c>
      <c r="AB49" s="215">
        <v>3715.1</v>
      </c>
      <c r="AC49" s="215">
        <v>2603</v>
      </c>
      <c r="AD49" s="215">
        <f>Y49/AB49</f>
        <v>1.321525665527173</v>
      </c>
      <c r="AE49" s="215">
        <f t="shared" si="13"/>
        <v>0.75670115691706041</v>
      </c>
      <c r="AF49" s="99"/>
    </row>
    <row r="50" spans="1:32">
      <c r="A50" s="99" t="s">
        <v>4837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5" t="s">
        <v>5040</v>
      </c>
      <c r="X50" s="215" t="s">
        <v>4538</v>
      </c>
      <c r="Y50" s="113">
        <v>4949.8</v>
      </c>
      <c r="Z50" s="215">
        <v>64</v>
      </c>
      <c r="AA50" s="215" t="s">
        <v>4391</v>
      </c>
      <c r="AB50" s="215">
        <v>3720.1</v>
      </c>
      <c r="AC50" s="215">
        <v>84</v>
      </c>
      <c r="AD50" s="215">
        <f t="shared" si="12"/>
        <v>1.3305556302249941</v>
      </c>
      <c r="AE50" s="215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5" t="s">
        <v>5040</v>
      </c>
      <c r="X51" s="215" t="s">
        <v>4538</v>
      </c>
      <c r="Y51" s="113">
        <v>4949</v>
      </c>
      <c r="Z51" s="215">
        <v>1000</v>
      </c>
      <c r="AA51" s="215" t="s">
        <v>4243</v>
      </c>
      <c r="AB51" s="215">
        <v>192</v>
      </c>
      <c r="AC51" s="215" t="s">
        <v>5045</v>
      </c>
      <c r="AD51" s="215">
        <f t="shared" si="12"/>
        <v>25.776041666666668</v>
      </c>
      <c r="AE51" s="215">
        <f t="shared" si="13"/>
        <v>3.8795716306324508E-2</v>
      </c>
      <c r="AF51" s="99"/>
    </row>
    <row r="52" spans="1:32">
      <c r="A52" s="99" t="s">
        <v>4859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215" t="s">
        <v>5049</v>
      </c>
      <c r="X52" s="215" t="s">
        <v>4538</v>
      </c>
      <c r="Y52" s="113">
        <v>4957.7</v>
      </c>
      <c r="Z52" s="215" t="s">
        <v>5045</v>
      </c>
      <c r="AA52" s="215" t="s">
        <v>4391</v>
      </c>
      <c r="AB52" s="215">
        <v>3589.3</v>
      </c>
      <c r="AC52" s="215" t="s">
        <v>5045</v>
      </c>
      <c r="AD52" s="215">
        <f t="shared" si="12"/>
        <v>1.3812442537542138</v>
      </c>
      <c r="AE52" s="215">
        <f t="shared" si="13"/>
        <v>0.72398491235855345</v>
      </c>
      <c r="AF52" s="99"/>
    </row>
    <row r="53" spans="1:32">
      <c r="A53" s="99" t="s">
        <v>4862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215" t="s">
        <v>5049</v>
      </c>
      <c r="X53" s="215" t="s">
        <v>4538</v>
      </c>
      <c r="Y53" s="113">
        <v>4958</v>
      </c>
      <c r="Z53" s="215" t="s">
        <v>5045</v>
      </c>
      <c r="AA53" s="215" t="s">
        <v>4395</v>
      </c>
      <c r="AB53" s="215">
        <v>4730.8999999999996</v>
      </c>
      <c r="AC53" s="215" t="s">
        <v>5045</v>
      </c>
      <c r="AD53" s="215">
        <f t="shared" si="12"/>
        <v>1.0480035511213512</v>
      </c>
      <c r="AE53" s="215">
        <f t="shared" si="13"/>
        <v>0.95419524001613543</v>
      </c>
      <c r="AF53" s="99"/>
    </row>
    <row r="54" spans="1:32">
      <c r="A54" s="99" t="s">
        <v>4865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5" t="s">
        <v>5049</v>
      </c>
      <c r="X54" s="215" t="s">
        <v>4538</v>
      </c>
      <c r="Y54" s="113">
        <v>4958</v>
      </c>
      <c r="Z54" s="215" t="s">
        <v>5045</v>
      </c>
      <c r="AA54" s="215" t="s">
        <v>4410</v>
      </c>
      <c r="AB54" s="215">
        <v>671.9</v>
      </c>
      <c r="AC54" s="215" t="s">
        <v>5045</v>
      </c>
      <c r="AD54" s="215">
        <f t="shared" si="12"/>
        <v>7.379074267004019</v>
      </c>
      <c r="AE54" s="215">
        <f t="shared" si="13"/>
        <v>0.13551835417507058</v>
      </c>
      <c r="AF54" s="99"/>
    </row>
    <row r="55" spans="1:32">
      <c r="A55" s="99" t="s">
        <v>4872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5" t="s">
        <v>5049</v>
      </c>
      <c r="X55" s="215" t="s">
        <v>4538</v>
      </c>
      <c r="Y55" s="113">
        <v>4958</v>
      </c>
      <c r="Z55" s="215" t="s">
        <v>5045</v>
      </c>
      <c r="AA55" s="215" t="s">
        <v>4243</v>
      </c>
      <c r="AB55" s="215">
        <v>194.4</v>
      </c>
      <c r="AC55" s="215" t="s">
        <v>5045</v>
      </c>
      <c r="AD55" s="215">
        <f t="shared" si="12"/>
        <v>25.504115226337447</v>
      </c>
      <c r="AE55" s="215">
        <f t="shared" si="13"/>
        <v>3.9209358612343689E-2</v>
      </c>
      <c r="AF55" s="99"/>
    </row>
    <row r="56" spans="1:32">
      <c r="A56" s="99" t="s">
        <v>4879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5"/>
      <c r="X56" s="215"/>
      <c r="Y56" s="113"/>
      <c r="Z56" s="215"/>
      <c r="AA56" s="215"/>
      <c r="AB56" s="215"/>
      <c r="AC56" s="215"/>
      <c r="AD56" s="215" t="e">
        <f t="shared" si="12"/>
        <v>#DIV/0!</v>
      </c>
      <c r="AE56" s="215" t="e">
        <f t="shared" si="13"/>
        <v>#DIV/0!</v>
      </c>
      <c r="AF56" s="99"/>
    </row>
    <row r="57" spans="1:32">
      <c r="A57" s="99" t="s">
        <v>4884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5"/>
      <c r="X57" s="215"/>
      <c r="Y57" s="113"/>
      <c r="Z57" s="215"/>
      <c r="AA57" s="215"/>
      <c r="AB57" s="215"/>
      <c r="AC57" s="215"/>
      <c r="AD57" s="215" t="e">
        <f t="shared" si="12"/>
        <v>#DIV/0!</v>
      </c>
      <c r="AE57" s="215" t="e">
        <f t="shared" si="13"/>
        <v>#DIV/0!</v>
      </c>
      <c r="AF57" s="99"/>
    </row>
    <row r="58" spans="1:32">
      <c r="A58" s="99" t="s">
        <v>4894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5"/>
      <c r="X58" s="215"/>
      <c r="Y58" s="113"/>
      <c r="Z58" s="215"/>
      <c r="AA58" s="215"/>
      <c r="AB58" s="215"/>
      <c r="AC58" s="215"/>
      <c r="AD58" s="215" t="e">
        <f t="shared" si="12"/>
        <v>#DIV/0!</v>
      </c>
      <c r="AE58" s="215" t="e">
        <f t="shared" si="13"/>
        <v>#DIV/0!</v>
      </c>
      <c r="AF58" s="99"/>
    </row>
    <row r="59" spans="1:32">
      <c r="A59" s="99" t="s">
        <v>4932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5"/>
      <c r="X59" s="215"/>
      <c r="Y59" s="113"/>
      <c r="Z59" s="215"/>
      <c r="AA59" s="215"/>
      <c r="AB59" s="215"/>
      <c r="AC59" s="215"/>
      <c r="AD59" s="215" t="e">
        <f t="shared" si="12"/>
        <v>#DIV/0!</v>
      </c>
      <c r="AE59" s="215" t="e">
        <f t="shared" si="13"/>
        <v>#DIV/0!</v>
      </c>
      <c r="AF59" s="99"/>
    </row>
    <row r="60" spans="1:32">
      <c r="A60" s="99" t="s">
        <v>4933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5"/>
      <c r="X60" s="215"/>
      <c r="Y60" s="113"/>
      <c r="Z60" s="215"/>
      <c r="AA60" s="215"/>
      <c r="AB60" s="215"/>
      <c r="AC60" s="215"/>
      <c r="AD60" s="215" t="e">
        <f t="shared" si="12"/>
        <v>#DIV/0!</v>
      </c>
      <c r="AE60" s="215" t="e">
        <f t="shared" si="13"/>
        <v>#DIV/0!</v>
      </c>
      <c r="AF60" s="99"/>
    </row>
    <row r="61" spans="1:32">
      <c r="A61" s="99" t="s">
        <v>4946</v>
      </c>
      <c r="B61" s="95">
        <v>4850000</v>
      </c>
      <c r="C61" s="95">
        <v>4950000</v>
      </c>
      <c r="D61" s="95">
        <v>13750</v>
      </c>
      <c r="E61" s="95">
        <v>13900</v>
      </c>
      <c r="W61" s="215"/>
      <c r="X61" s="215"/>
      <c r="Y61" s="113"/>
      <c r="Z61" s="215"/>
      <c r="AA61" s="215"/>
      <c r="AB61" s="215"/>
      <c r="AC61" s="215"/>
      <c r="AD61" s="215" t="e">
        <f t="shared" si="12"/>
        <v>#DIV/0!</v>
      </c>
      <c r="AE61" s="215" t="e">
        <f t="shared" si="13"/>
        <v>#DIV/0!</v>
      </c>
      <c r="AF61" s="99"/>
    </row>
    <row r="62" spans="1:32">
      <c r="A62" s="99" t="s">
        <v>4967</v>
      </c>
      <c r="B62" s="95">
        <v>4680000</v>
      </c>
      <c r="C62" s="95">
        <v>4780000</v>
      </c>
      <c r="D62" s="95">
        <v>13500</v>
      </c>
      <c r="E62" s="95">
        <v>13650</v>
      </c>
      <c r="W62" s="215"/>
      <c r="X62" s="215"/>
      <c r="Y62" s="113"/>
      <c r="Z62" s="215"/>
      <c r="AA62" s="215"/>
      <c r="AB62" s="215"/>
      <c r="AC62" s="215"/>
      <c r="AD62" s="215" t="e">
        <f t="shared" si="12"/>
        <v>#DIV/0!</v>
      </c>
      <c r="AE62" s="215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5" t="s">
        <v>8</v>
      </c>
      <c r="J63" s="215" t="s">
        <v>4785</v>
      </c>
      <c r="K63" s="215" t="s">
        <v>180</v>
      </c>
      <c r="L63" s="228" t="s">
        <v>4783</v>
      </c>
      <c r="M63" s="228" t="s">
        <v>4784</v>
      </c>
      <c r="N63" s="215" t="s">
        <v>6</v>
      </c>
      <c r="O63" s="215" t="s">
        <v>4786</v>
      </c>
      <c r="P63" s="215" t="s">
        <v>4804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4723</v>
      </c>
      <c r="L64" s="84">
        <v>535989412</v>
      </c>
      <c r="M64" s="84"/>
      <c r="N64" s="215"/>
      <c r="O64" s="215"/>
      <c r="P64" s="215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4756</v>
      </c>
      <c r="L65" s="84">
        <v>548929344</v>
      </c>
      <c r="M65" s="84"/>
      <c r="N65" s="215"/>
      <c r="O65" s="215"/>
      <c r="P65" s="215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5"/>
      <c r="J66" s="113">
        <f t="shared" ref="J66:J88" si="14">L66-L65</f>
        <v>11531981</v>
      </c>
      <c r="K66" s="215" t="s">
        <v>4764</v>
      </c>
      <c r="L66" s="84">
        <v>560461325</v>
      </c>
      <c r="M66" s="84"/>
      <c r="N66" s="215"/>
      <c r="O66" s="215"/>
      <c r="P66" s="215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5"/>
      <c r="J67" s="113">
        <f t="shared" si="14"/>
        <v>17387769</v>
      </c>
      <c r="K67" s="215" t="s">
        <v>4771</v>
      </c>
      <c r="L67" s="84">
        <v>577849094</v>
      </c>
      <c r="M67" s="84"/>
      <c r="N67" s="215"/>
      <c r="O67" s="215"/>
      <c r="P67" s="215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5"/>
      <c r="J68" s="113">
        <f t="shared" si="14"/>
        <v>11024486</v>
      </c>
      <c r="K68" s="215" t="s">
        <v>4773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5"/>
      <c r="J69" s="113">
        <f t="shared" si="14"/>
        <v>-8942851</v>
      </c>
      <c r="K69" s="215" t="s">
        <v>4782</v>
      </c>
      <c r="L69" s="231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4801</v>
      </c>
      <c r="J70" s="35">
        <f t="shared" si="14"/>
        <v>45893629</v>
      </c>
      <c r="K70" s="5" t="s">
        <v>4791</v>
      </c>
      <c r="L70" s="238">
        <v>625824358</v>
      </c>
      <c r="M70" s="238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5"/>
      <c r="J71" s="113">
        <f t="shared" si="14"/>
        <v>3462014</v>
      </c>
      <c r="K71" s="215" t="s">
        <v>4802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5"/>
      <c r="J72" s="113">
        <f t="shared" si="14"/>
        <v>-2687296</v>
      </c>
      <c r="K72" s="215" t="s">
        <v>4818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5"/>
      <c r="J73" s="113">
        <f t="shared" si="14"/>
        <v>-6009466</v>
      </c>
      <c r="K73" s="215" t="s">
        <v>4822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5"/>
      <c r="J74" s="113">
        <f t="shared" si="14"/>
        <v>-1273071</v>
      </c>
      <c r="K74" s="215" t="s">
        <v>4823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5"/>
      <c r="J75" s="113">
        <f t="shared" si="14"/>
        <v>112274</v>
      </c>
      <c r="K75" s="215" t="s">
        <v>4833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5"/>
      <c r="J76" s="113">
        <f t="shared" si="14"/>
        <v>6567221</v>
      </c>
      <c r="K76" s="215" t="s">
        <v>4837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5"/>
      <c r="J77" s="113">
        <f t="shared" si="14"/>
        <v>4477051</v>
      </c>
      <c r="K77" s="215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4657</v>
      </c>
      <c r="AA77" s="96"/>
      <c r="AB77" s="96"/>
      <c r="AC77" s="96"/>
      <c r="AD77" s="96"/>
    </row>
    <row r="78" spans="1:32">
      <c r="F78" t="s">
        <v>25</v>
      </c>
      <c r="I78" s="215"/>
      <c r="J78" s="113">
        <f t="shared" si="14"/>
        <v>6046556</v>
      </c>
      <c r="K78" s="215" t="s">
        <v>4859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4658</v>
      </c>
      <c r="AA78" s="209">
        <v>35441</v>
      </c>
      <c r="AB78" s="96"/>
      <c r="AC78" s="96"/>
      <c r="AD78" s="96"/>
    </row>
    <row r="79" spans="1:32" ht="120">
      <c r="I79" s="215"/>
      <c r="J79" s="113">
        <f t="shared" si="14"/>
        <v>6885870</v>
      </c>
      <c r="K79" s="215" t="s">
        <v>4862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4661</v>
      </c>
      <c r="Y79" s="22" t="s">
        <v>4660</v>
      </c>
      <c r="Z79" s="22" t="s">
        <v>4659</v>
      </c>
      <c r="AA79" s="22" t="s">
        <v>4662</v>
      </c>
    </row>
    <row r="80" spans="1:32">
      <c r="G80" t="s">
        <v>25</v>
      </c>
      <c r="I80" s="5" t="s">
        <v>4883</v>
      </c>
      <c r="J80" s="35">
        <f t="shared" si="14"/>
        <v>-1984018</v>
      </c>
      <c r="K80" s="5" t="s">
        <v>4865</v>
      </c>
      <c r="L80" s="238">
        <v>641421493</v>
      </c>
      <c r="M80" s="238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5"/>
      <c r="J81" s="113">
        <f t="shared" si="14"/>
        <v>6117877</v>
      </c>
      <c r="K81" s="215" t="s">
        <v>4872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40" t="s">
        <v>4882</v>
      </c>
      <c r="J82" s="86">
        <f t="shared" si="14"/>
        <v>8860702</v>
      </c>
      <c r="K82" s="192" t="s">
        <v>4879</v>
      </c>
      <c r="L82" s="239">
        <v>656400072</v>
      </c>
      <c r="M82" s="239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40" t="s">
        <v>4892</v>
      </c>
      <c r="J83" s="86">
        <f>L83-L82+31412200</f>
        <v>20439704</v>
      </c>
      <c r="K83" s="192" t="s">
        <v>4884</v>
      </c>
      <c r="L83" s="239">
        <v>645427576</v>
      </c>
      <c r="M83" s="239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4893</v>
      </c>
      <c r="J84" s="189">
        <f t="shared" si="14"/>
        <v>21224293</v>
      </c>
      <c r="K84" s="190" t="s">
        <v>4894</v>
      </c>
      <c r="L84" s="241">
        <v>666651869</v>
      </c>
      <c r="M84" s="241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4"/>
        <v>9478107</v>
      </c>
      <c r="K85" s="215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5"/>
      <c r="J86" s="113">
        <f t="shared" si="14"/>
        <v>-8249999</v>
      </c>
      <c r="K86" s="215" t="s">
        <v>4906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2" t="s">
        <v>4917</v>
      </c>
      <c r="J87" s="197">
        <f>L87-L86-20000</f>
        <v>7878257</v>
      </c>
      <c r="K87" s="191" t="s">
        <v>4907</v>
      </c>
      <c r="L87" s="243">
        <v>675778234</v>
      </c>
      <c r="M87" s="243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4"/>
        <v>17031996</v>
      </c>
      <c r="K88" s="215" t="s">
        <v>4919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5"/>
      <c r="J89" s="113">
        <f>L89-L88</f>
        <v>-12175091</v>
      </c>
      <c r="K89" s="215" t="s">
        <v>4920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4956</v>
      </c>
      <c r="J90" s="197">
        <f>L90-L89-1000000</f>
        <v>3840350</v>
      </c>
      <c r="K90" s="191" t="s">
        <v>4932</v>
      </c>
      <c r="L90" s="243">
        <v>685475489</v>
      </c>
      <c r="M90" s="243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5"/>
      <c r="J91" s="113">
        <f t="shared" ref="J91:J126" si="19">L91-L90</f>
        <v>-12127865</v>
      </c>
      <c r="K91" s="215" t="s">
        <v>4933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5"/>
      <c r="J92" s="113">
        <f t="shared" si="19"/>
        <v>11765514</v>
      </c>
      <c r="K92" s="215" t="s">
        <v>4946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5"/>
      <c r="J93" s="113">
        <f t="shared" si="19"/>
        <v>2886862</v>
      </c>
      <c r="K93" s="215" t="s">
        <v>4948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5"/>
      <c r="J94" s="113">
        <f t="shared" si="19"/>
        <v>10450869</v>
      </c>
      <c r="K94" s="215" t="s">
        <v>4949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4955</v>
      </c>
      <c r="J95" s="197">
        <f>L95-L94-2520000</f>
        <v>-274657</v>
      </c>
      <c r="K95" s="191" t="s">
        <v>4952</v>
      </c>
      <c r="L95" s="243">
        <v>700696212</v>
      </c>
      <c r="M95" s="243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5"/>
      <c r="J96" s="113">
        <f t="shared" si="19"/>
        <v>3959605</v>
      </c>
      <c r="K96" s="215" t="s">
        <v>4957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5"/>
      <c r="J97" s="113">
        <f t="shared" si="19"/>
        <v>4588822</v>
      </c>
      <c r="K97" s="215" t="s">
        <v>4961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5"/>
      <c r="J98" s="113">
        <f t="shared" si="19"/>
        <v>-11230604</v>
      </c>
      <c r="K98" s="215" t="s">
        <v>4964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5"/>
      <c r="J99" s="113">
        <f t="shared" si="19"/>
        <v>6285999</v>
      </c>
      <c r="K99" s="215" t="s">
        <v>4965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5"/>
      <c r="J100" s="113">
        <f t="shared" si="19"/>
        <v>17278812</v>
      </c>
      <c r="K100" s="215" t="s">
        <v>4967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5"/>
      <c r="J101" s="113">
        <f t="shared" si="19"/>
        <v>287745</v>
      </c>
      <c r="K101" s="215" t="s">
        <v>4968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5"/>
      <c r="J102" s="113">
        <f t="shared" si="19"/>
        <v>-5866591</v>
      </c>
      <c r="K102" s="215" t="s">
        <v>4971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5"/>
      <c r="J103" s="113">
        <f t="shared" si="19"/>
        <v>288384</v>
      </c>
      <c r="K103" s="215" t="s">
        <v>4970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5017</v>
      </c>
      <c r="J104" s="197">
        <f>L104-L103-1400000</f>
        <v>-1688384</v>
      </c>
      <c r="K104" s="191" t="s">
        <v>5014</v>
      </c>
      <c r="L104" s="243">
        <v>716000000</v>
      </c>
      <c r="M104" s="243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5"/>
      <c r="J105" s="113">
        <f t="shared" si="19"/>
        <v>8529471</v>
      </c>
      <c r="K105" s="215" t="s">
        <v>5016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5019</v>
      </c>
      <c r="J106" s="189">
        <f>L106-L105-1550000</f>
        <v>16319322</v>
      </c>
      <c r="K106" s="190" t="s">
        <v>5018</v>
      </c>
      <c r="L106" s="241">
        <v>742398793</v>
      </c>
      <c r="M106" s="241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9"/>
        <v>7585832</v>
      </c>
      <c r="K107" s="215" t="s">
        <v>5020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5026</v>
      </c>
      <c r="J108" s="189">
        <f>L108-L107-250000</f>
        <v>9825827</v>
      </c>
      <c r="K108" s="190" t="s">
        <v>4963</v>
      </c>
      <c r="L108" s="241">
        <v>760060452</v>
      </c>
      <c r="M108" s="241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5"/>
      <c r="J109" s="113">
        <f t="shared" si="19"/>
        <v>4204925</v>
      </c>
      <c r="K109" s="215" t="s">
        <v>5027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50" t="s">
        <v>5036</v>
      </c>
      <c r="J110" s="251">
        <f>L110-L109+48527480</f>
        <v>-4646184</v>
      </c>
      <c r="K110" s="218" t="s">
        <v>5031</v>
      </c>
      <c r="L110" s="252">
        <v>711091713</v>
      </c>
      <c r="M110" s="252">
        <v>365802118</v>
      </c>
      <c r="N110" s="251">
        <f t="shared" si="24"/>
        <v>1076893831</v>
      </c>
      <c r="O110" s="251">
        <f>M110-M109+2668880-50000000</f>
        <v>-28379623</v>
      </c>
      <c r="P110" s="251">
        <f>N110-N109-50000000+48527480+2668880</f>
        <v>-33025807</v>
      </c>
    </row>
    <row r="111" spans="9:20">
      <c r="I111" s="215"/>
      <c r="J111" s="113">
        <f t="shared" si="19"/>
        <v>12126436</v>
      </c>
      <c r="K111" s="215" t="s">
        <v>5039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5046</v>
      </c>
      <c r="J112" s="189">
        <f t="shared" si="19"/>
        <v>-11559770</v>
      </c>
      <c r="K112" s="190" t="s">
        <v>5040</v>
      </c>
      <c r="L112" s="241">
        <v>711658379</v>
      </c>
      <c r="M112" s="241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5" t="s">
        <v>5052</v>
      </c>
      <c r="J113" s="113">
        <f t="shared" si="19"/>
        <v>-47970668</v>
      </c>
      <c r="K113" s="215" t="s">
        <v>5049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S113" t="s">
        <v>25</v>
      </c>
    </row>
    <row r="114" spans="9:19">
      <c r="I114" s="215"/>
      <c r="J114" s="113">
        <f t="shared" si="19"/>
        <v>9507166</v>
      </c>
      <c r="K114" s="215" t="s">
        <v>5060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</row>
    <row r="115" spans="9:19">
      <c r="I115" s="215"/>
      <c r="J115" s="113">
        <f t="shared" si="19"/>
        <v>351502</v>
      </c>
      <c r="K115" s="215" t="s">
        <v>5067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</row>
    <row r="116" spans="9:19">
      <c r="I116" s="190" t="s">
        <v>5071</v>
      </c>
      <c r="J116" s="189">
        <f t="shared" si="19"/>
        <v>-3653734</v>
      </c>
      <c r="K116" s="190" t="s">
        <v>5068</v>
      </c>
      <c r="L116" s="241">
        <v>669892645</v>
      </c>
      <c r="M116" s="241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</row>
    <row r="117" spans="9:19">
      <c r="I117" s="190" t="s">
        <v>5074</v>
      </c>
      <c r="J117" s="189">
        <f t="shared" si="19"/>
        <v>-492645</v>
      </c>
      <c r="K117" s="190" t="s">
        <v>5072</v>
      </c>
      <c r="L117" s="241">
        <v>669400000</v>
      </c>
      <c r="M117" s="241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</row>
    <row r="118" spans="9:19">
      <c r="I118" s="215"/>
      <c r="J118" s="113">
        <f t="shared" si="19"/>
        <v>7765061</v>
      </c>
      <c r="K118" s="215" t="s">
        <v>5075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</row>
    <row r="119" spans="9:19">
      <c r="I119" s="215"/>
      <c r="J119" s="113">
        <f t="shared" si="19"/>
        <v>-677165061</v>
      </c>
      <c r="K119" s="215"/>
      <c r="L119" s="84"/>
      <c r="M119" s="84"/>
      <c r="N119" s="113">
        <f t="shared" si="27"/>
        <v>0</v>
      </c>
      <c r="O119" s="113">
        <f t="shared" si="28"/>
        <v>-392704452</v>
      </c>
      <c r="P119" s="113">
        <f t="shared" si="29"/>
        <v>-1069869513</v>
      </c>
    </row>
    <row r="120" spans="9:19">
      <c r="I120" s="215"/>
      <c r="J120" s="113">
        <f t="shared" si="19"/>
        <v>0</v>
      </c>
      <c r="K120" s="215"/>
      <c r="L120" s="84"/>
      <c r="M120" s="84"/>
      <c r="N120" s="113">
        <f t="shared" si="27"/>
        <v>0</v>
      </c>
      <c r="O120" s="113">
        <f t="shared" si="28"/>
        <v>0</v>
      </c>
      <c r="P120" s="113">
        <f t="shared" si="29"/>
        <v>0</v>
      </c>
    </row>
    <row r="121" spans="9:19">
      <c r="I121" s="215"/>
      <c r="J121" s="113">
        <f t="shared" si="19"/>
        <v>0</v>
      </c>
      <c r="K121" s="215"/>
      <c r="L121" s="84"/>
      <c r="M121" s="84"/>
      <c r="N121" s="113">
        <f t="shared" si="27"/>
        <v>0</v>
      </c>
      <c r="O121" s="113">
        <f t="shared" si="28"/>
        <v>0</v>
      </c>
      <c r="P121" s="113">
        <f t="shared" si="29"/>
        <v>0</v>
      </c>
    </row>
    <row r="122" spans="9:19">
      <c r="I122" s="215"/>
      <c r="J122" s="113">
        <f t="shared" si="19"/>
        <v>0</v>
      </c>
      <c r="K122" s="215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5"/>
      <c r="J123" s="113">
        <f t="shared" si="19"/>
        <v>0</v>
      </c>
      <c r="K123" s="215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5"/>
      <c r="J124" s="113">
        <f t="shared" si="19"/>
        <v>0</v>
      </c>
      <c r="K124" s="215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5"/>
      <c r="J125" s="113">
        <f t="shared" si="19"/>
        <v>0</v>
      </c>
      <c r="K125" s="215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5"/>
      <c r="J126" s="113">
        <f t="shared" si="19"/>
        <v>0</v>
      </c>
      <c r="K126" s="215"/>
      <c r="L126" s="84">
        <v>0</v>
      </c>
      <c r="M126" s="84"/>
      <c r="N126" s="215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4791</v>
      </c>
      <c r="B44" s="113">
        <v>-31000</v>
      </c>
      <c r="C44" s="99" t="s">
        <v>4803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4884</v>
      </c>
      <c r="B45" s="113">
        <v>2060725</v>
      </c>
      <c r="C45" s="99" t="s">
        <v>4888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4915</v>
      </c>
      <c r="B46" s="113">
        <v>-1073169</v>
      </c>
      <c r="C46" s="99" t="s">
        <v>4916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4907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4907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4920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4926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4927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4933</v>
      </c>
      <c r="B52" s="113">
        <v>-195330</v>
      </c>
      <c r="C52" s="99" t="s">
        <v>4940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4946</v>
      </c>
      <c r="B53" s="113">
        <v>-140730</v>
      </c>
      <c r="C53" s="99" t="s">
        <v>4950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4948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4948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4952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4848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4848</v>
      </c>
      <c r="I46" s="11">
        <v>248200</v>
      </c>
      <c r="J46" s="11" t="s">
        <v>4858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-77315</v>
      </c>
      <c r="C29" s="18">
        <v>0</v>
      </c>
      <c r="D29" s="113">
        <f t="shared" si="0"/>
        <v>-77315</v>
      </c>
      <c r="E29" s="19" t="s">
        <v>4625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-66850</v>
      </c>
      <c r="C30" s="18">
        <v>0</v>
      </c>
      <c r="D30" s="113">
        <f t="shared" si="0"/>
        <v>-66850</v>
      </c>
      <c r="E30" s="19" t="s">
        <v>4631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4630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4636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4636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4652</v>
      </c>
      <c r="B5" s="18">
        <v>-200000</v>
      </c>
      <c r="C5" s="18">
        <v>0</v>
      </c>
      <c r="D5" s="113">
        <f t="shared" si="0"/>
        <v>-200000</v>
      </c>
      <c r="E5" s="20" t="s">
        <v>4649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4663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4668</v>
      </c>
      <c r="B10" s="18">
        <v>-51400</v>
      </c>
      <c r="C10" s="18">
        <v>0</v>
      </c>
      <c r="D10" s="113">
        <f t="shared" si="0"/>
        <v>-51400</v>
      </c>
      <c r="E10" s="19" t="s">
        <v>4675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4697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4697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4702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4714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4720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4720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4731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4722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4723</v>
      </c>
      <c r="B22" s="18">
        <v>-324747</v>
      </c>
      <c r="C22" s="18">
        <v>0</v>
      </c>
      <c r="D22" s="113">
        <f t="shared" si="0"/>
        <v>-324747</v>
      </c>
      <c r="E22" s="19" t="s">
        <v>4732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4740</v>
      </c>
      <c r="B23" s="18">
        <v>-297992</v>
      </c>
      <c r="C23" s="18">
        <v>0</v>
      </c>
      <c r="D23" s="113">
        <f t="shared" si="0"/>
        <v>-297992</v>
      </c>
      <c r="E23" s="19" t="s">
        <v>4741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4703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4721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4729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4730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4733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4735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4742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4760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4761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4756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4768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4791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4802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4802</v>
      </c>
      <c r="B6" s="18">
        <v>-1866154</v>
      </c>
      <c r="C6" s="18">
        <v>0</v>
      </c>
      <c r="D6" s="113">
        <f t="shared" si="0"/>
        <v>-1866154</v>
      </c>
      <c r="E6" s="19" t="s">
        <v>4811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4802</v>
      </c>
      <c r="B7" s="18">
        <v>-36600</v>
      </c>
      <c r="C7" s="18">
        <v>0</v>
      </c>
      <c r="D7" s="113">
        <f t="shared" si="0"/>
        <v>-36600</v>
      </c>
      <c r="E7" s="19" t="s">
        <v>4812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4813</v>
      </c>
      <c r="B8" s="18">
        <v>-492000</v>
      </c>
      <c r="C8" s="18">
        <v>0</v>
      </c>
      <c r="D8" s="113">
        <f t="shared" si="0"/>
        <v>-492000</v>
      </c>
      <c r="E8" s="19" t="s">
        <v>4814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4813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4813</v>
      </c>
      <c r="B10" s="18">
        <v>-40000</v>
      </c>
      <c r="C10" s="18">
        <v>0</v>
      </c>
      <c r="D10" s="113">
        <f t="shared" si="0"/>
        <v>-40000</v>
      </c>
      <c r="E10" s="19" t="s">
        <v>4816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4817</v>
      </c>
      <c r="B11" s="18">
        <v>-66000</v>
      </c>
      <c r="C11" s="18">
        <v>0</v>
      </c>
      <c r="D11" s="113">
        <f t="shared" si="0"/>
        <v>-66000</v>
      </c>
      <c r="E11" s="19" t="s">
        <v>4816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4818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4818</v>
      </c>
      <c r="B13" s="18">
        <v>-200500</v>
      </c>
      <c r="C13" s="18">
        <v>0</v>
      </c>
      <c r="D13" s="113">
        <f t="shared" si="0"/>
        <v>-200500</v>
      </c>
      <c r="E13" s="20" t="s">
        <v>4819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4823</v>
      </c>
      <c r="B14" s="18">
        <v>1563000</v>
      </c>
      <c r="C14" s="18">
        <v>0</v>
      </c>
      <c r="D14" s="113">
        <f t="shared" si="0"/>
        <v>1563000</v>
      </c>
      <c r="E14" s="20" t="s">
        <v>4828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4823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4837</v>
      </c>
      <c r="B16" s="18">
        <v>-20000</v>
      </c>
      <c r="C16" s="18">
        <v>0</v>
      </c>
      <c r="D16" s="113">
        <f t="shared" si="0"/>
        <v>-20000</v>
      </c>
      <c r="E16" s="20" t="s">
        <v>4841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4852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4856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4862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4872</v>
      </c>
      <c r="B20" s="18">
        <v>400000</v>
      </c>
      <c r="C20" s="18">
        <v>0</v>
      </c>
      <c r="D20" s="113">
        <f t="shared" si="0"/>
        <v>400000</v>
      </c>
      <c r="E20" s="19" t="s">
        <v>4874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4876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4876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4876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4878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4878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4879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4879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4884</v>
      </c>
      <c r="B28" s="18">
        <v>433375</v>
      </c>
      <c r="C28" s="18">
        <v>0</v>
      </c>
      <c r="D28" s="113">
        <f t="shared" si="0"/>
        <v>433375</v>
      </c>
      <c r="E28" s="19" t="s">
        <v>4888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4894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4894</v>
      </c>
      <c r="B30" s="18">
        <v>-300000</v>
      </c>
      <c r="C30" s="18">
        <v>0</v>
      </c>
      <c r="D30" s="113">
        <f t="shared" si="0"/>
        <v>-300000</v>
      </c>
      <c r="E30" s="19" t="s">
        <v>4897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4894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4904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4766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4779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4780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4790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4800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4805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4809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4810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4811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4820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4824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4829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4832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4836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4839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4840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4842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4843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4853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4855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4861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4863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4866</v>
      </c>
      <c r="F69" s="96"/>
      <c r="G69" s="96"/>
      <c r="H69" s="96"/>
      <c r="I69" s="96"/>
    </row>
    <row r="70" spans="1:22">
      <c r="D70" s="18">
        <v>-400000</v>
      </c>
      <c r="E70" s="122" t="s">
        <v>4875</v>
      </c>
      <c r="G70" t="s">
        <v>25</v>
      </c>
    </row>
    <row r="71" spans="1:22">
      <c r="D71" s="18">
        <v>463200</v>
      </c>
      <c r="E71" s="122" t="s">
        <v>4877</v>
      </c>
    </row>
    <row r="72" spans="1:22">
      <c r="D72" s="18">
        <v>2000000</v>
      </c>
      <c r="E72" s="96" t="s">
        <v>4880</v>
      </c>
    </row>
    <row r="73" spans="1:22">
      <c r="D73" s="18">
        <v>-280000</v>
      </c>
      <c r="E73" t="s">
        <v>4881</v>
      </c>
    </row>
    <row r="74" spans="1:22">
      <c r="D74" s="18">
        <v>-200000</v>
      </c>
      <c r="E74" s="96" t="s">
        <v>4889</v>
      </c>
    </row>
    <row r="75" spans="1:22">
      <c r="D75" s="18">
        <v>-2000000</v>
      </c>
      <c r="E75" s="96" t="s">
        <v>4895</v>
      </c>
    </row>
    <row r="76" spans="1:22">
      <c r="D76" s="18">
        <v>92800</v>
      </c>
      <c r="E76" s="96" t="s">
        <v>4900</v>
      </c>
    </row>
    <row r="77" spans="1:22">
      <c r="D77" s="18">
        <v>1417727</v>
      </c>
      <c r="E77" s="96" t="s">
        <v>4904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3" t="s">
        <v>1089</v>
      </c>
      <c r="R21" s="253"/>
      <c r="S21" s="253"/>
      <c r="T21" s="253"/>
      <c r="U21" s="96"/>
      <c r="V21" s="96"/>
      <c r="W21" s="96"/>
      <c r="X21" s="96"/>
      <c r="Y21" s="96"/>
      <c r="Z21" s="96"/>
    </row>
    <row r="22" spans="5:35">
      <c r="O22" s="99"/>
      <c r="P22" s="99"/>
      <c r="Q22" s="253"/>
      <c r="R22" s="253"/>
      <c r="S22" s="253"/>
      <c r="T22" s="253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4" t="s">
        <v>1090</v>
      </c>
      <c r="R23" s="255" t="s">
        <v>1091</v>
      </c>
      <c r="S23" s="254" t="s">
        <v>1092</v>
      </c>
      <c r="T23" s="256" t="s">
        <v>1093</v>
      </c>
      <c r="AD23" t="s">
        <v>25</v>
      </c>
    </row>
    <row r="24" spans="5:35">
      <c r="O24" s="99"/>
      <c r="P24" s="99"/>
      <c r="Q24" s="254"/>
      <c r="R24" s="255"/>
      <c r="S24" s="254"/>
      <c r="T24" s="256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4813</v>
      </c>
      <c r="B5" t="s">
        <v>4830</v>
      </c>
    </row>
    <row r="6" spans="1:3">
      <c r="A6" t="s">
        <v>4823</v>
      </c>
      <c r="B6" t="s">
        <v>4831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4745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4736</v>
      </c>
      <c r="B2" s="95">
        <v>10300</v>
      </c>
      <c r="C2" s="95">
        <v>0</v>
      </c>
      <c r="D2" s="99" t="s">
        <v>4746</v>
      </c>
      <c r="E2" s="96"/>
      <c r="F2" s="96"/>
      <c r="G2" s="96"/>
    </row>
    <row r="3" spans="1:7">
      <c r="A3" s="99" t="s">
        <v>4736</v>
      </c>
      <c r="B3" s="95">
        <v>0</v>
      </c>
      <c r="C3" s="95">
        <v>5500</v>
      </c>
      <c r="D3" s="99" t="s">
        <v>4747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4756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4771</v>
      </c>
      <c r="B6" s="95">
        <v>0</v>
      </c>
      <c r="C6" s="95">
        <v>3000</v>
      </c>
      <c r="D6" s="99" t="s">
        <v>4775</v>
      </c>
      <c r="E6" s="96"/>
      <c r="F6" s="96"/>
      <c r="G6" s="96"/>
    </row>
    <row r="7" spans="1:7">
      <c r="A7" s="99" t="s">
        <v>4771</v>
      </c>
      <c r="B7" s="95">
        <v>9200</v>
      </c>
      <c r="C7" s="95">
        <v>0</v>
      </c>
      <c r="D7" s="99" t="s">
        <v>4746</v>
      </c>
      <c r="E7" s="96"/>
      <c r="F7" s="96"/>
      <c r="G7" s="96"/>
    </row>
    <row r="8" spans="1:7">
      <c r="A8" s="99" t="s">
        <v>4773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4782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4782</v>
      </c>
      <c r="B10" s="95">
        <v>10200</v>
      </c>
      <c r="C10" s="95">
        <v>0</v>
      </c>
      <c r="D10" s="99" t="s">
        <v>4746</v>
      </c>
      <c r="E10" s="96"/>
      <c r="F10" s="96"/>
      <c r="G10" s="96"/>
    </row>
    <row r="11" spans="1:7">
      <c r="A11" s="99" t="s">
        <v>4802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4822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4823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4854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4837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4746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4859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4862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4865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4872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4872</v>
      </c>
      <c r="B22" s="95">
        <v>9600</v>
      </c>
      <c r="C22" s="95">
        <v>0</v>
      </c>
      <c r="D22" s="99" t="s">
        <v>4746</v>
      </c>
      <c r="E22" s="96"/>
      <c r="F22" s="96"/>
      <c r="G22" s="96"/>
      <c r="I22" t="s">
        <v>25</v>
      </c>
    </row>
    <row r="23" spans="1:9">
      <c r="A23" s="99" t="s">
        <v>4879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4884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4894</v>
      </c>
      <c r="B25" s="95">
        <v>0</v>
      </c>
      <c r="C25" s="95">
        <v>1000</v>
      </c>
      <c r="D25" s="99" t="s">
        <v>315</v>
      </c>
    </row>
    <row r="26" spans="1:9">
      <c r="A26" s="99" t="s">
        <v>4932</v>
      </c>
      <c r="B26" s="95">
        <v>0</v>
      </c>
      <c r="C26" s="95">
        <v>12000</v>
      </c>
      <c r="D26" s="99" t="s">
        <v>4945</v>
      </c>
    </row>
    <row r="27" spans="1:9">
      <c r="A27" s="99" t="s">
        <v>4933</v>
      </c>
      <c r="B27" s="95">
        <v>0</v>
      </c>
      <c r="C27" s="95">
        <v>1000</v>
      </c>
      <c r="D27" s="99" t="s">
        <v>315</v>
      </c>
    </row>
    <row r="28" spans="1:9">
      <c r="A28" s="99" t="s">
        <v>4946</v>
      </c>
      <c r="B28" s="95">
        <v>0</v>
      </c>
      <c r="C28" s="95">
        <v>1000</v>
      </c>
      <c r="D28" s="99" t="s">
        <v>315</v>
      </c>
    </row>
    <row r="29" spans="1:9">
      <c r="A29" s="99" t="s">
        <v>4948</v>
      </c>
      <c r="B29" s="95">
        <v>0</v>
      </c>
      <c r="C29" s="95">
        <v>1000</v>
      </c>
      <c r="D29" s="99" t="s">
        <v>315</v>
      </c>
    </row>
    <row r="30" spans="1:9">
      <c r="A30" s="99" t="s">
        <v>4949</v>
      </c>
      <c r="B30" s="95">
        <v>0</v>
      </c>
      <c r="C30" s="95">
        <v>5500</v>
      </c>
      <c r="D30" s="99" t="s">
        <v>4747</v>
      </c>
    </row>
    <row r="31" spans="1:9">
      <c r="A31" s="99" t="s">
        <v>4949</v>
      </c>
      <c r="B31" s="95">
        <v>11000</v>
      </c>
      <c r="C31" s="95">
        <v>0</v>
      </c>
      <c r="D31" s="99" t="s">
        <v>4746</v>
      </c>
    </row>
    <row r="32" spans="1:9">
      <c r="A32" s="99" t="s">
        <v>4957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4961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4964</v>
      </c>
      <c r="B34" s="95">
        <v>0</v>
      </c>
      <c r="C34" s="95">
        <v>1000</v>
      </c>
      <c r="D34" s="99" t="s">
        <v>315</v>
      </c>
    </row>
    <row r="35" spans="1:10">
      <c r="A35" s="99" t="s">
        <v>4965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4970</v>
      </c>
      <c r="B36" s="95">
        <v>1000</v>
      </c>
      <c r="C36" s="95">
        <v>0</v>
      </c>
      <c r="D36" s="99" t="s">
        <v>315</v>
      </c>
    </row>
    <row r="37" spans="1:10">
      <c r="A37" s="99" t="s">
        <v>4970</v>
      </c>
      <c r="B37" s="95">
        <v>0</v>
      </c>
      <c r="C37" s="95">
        <v>11200</v>
      </c>
      <c r="D37" s="99" t="s">
        <v>4746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4773</v>
      </c>
      <c r="B48" s="226">
        <v>6700</v>
      </c>
      <c r="C48" s="226">
        <v>0</v>
      </c>
      <c r="D48" s="23" t="s">
        <v>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2019-05-19T08:56:48Z</dcterms:modified>
</cp:coreProperties>
</file>