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5"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fileRecoveryPr repairLoad="1"/>
</workbook>
</file>

<file path=xl/calcChain.xml><?xml version="1.0" encoding="utf-8"?>
<calcChain xmlns="http://schemas.openxmlformats.org/spreadsheetml/2006/main">
  <c r="O142" i="52" l="1"/>
  <c r="J142" i="52"/>
  <c r="N45" i="18"/>
  <c r="P22" i="18"/>
  <c r="N22" i="18" s="1"/>
  <c r="P148" i="18"/>
  <c r="W248" i="18"/>
  <c r="P23" i="18"/>
  <c r="P30" i="18" l="1"/>
  <c r="N30" i="18" s="1"/>
  <c r="O140" i="52"/>
  <c r="J140" i="52"/>
  <c r="W247" i="18"/>
  <c r="P24" i="18" l="1"/>
  <c r="N24" i="18" s="1"/>
  <c r="P29" i="18"/>
  <c r="N29" i="18" s="1"/>
  <c r="N47" i="18"/>
  <c r="N38" i="18"/>
  <c r="W246" i="18" l="1"/>
  <c r="W245" i="18"/>
  <c r="O139" i="52"/>
  <c r="J139" i="52"/>
  <c r="AB73" i="52"/>
  <c r="AD73" i="52" s="1"/>
  <c r="AC73" i="52" l="1"/>
  <c r="W244" i="18"/>
  <c r="AD71" i="52" l="1"/>
  <c r="AB72" i="52"/>
  <c r="AD72" i="52" s="1"/>
  <c r="AB71" i="52"/>
  <c r="AC72" i="52" l="1"/>
  <c r="AC71" i="52"/>
  <c r="M41" i="52"/>
  <c r="O135" i="52" l="1"/>
  <c r="J135" i="52"/>
  <c r="AD57" i="52"/>
  <c r="AB69" i="52"/>
  <c r="AD69" i="52" s="1"/>
  <c r="AB70" i="52"/>
  <c r="AD70" i="52" s="1"/>
  <c r="AC70" i="52" l="1"/>
  <c r="AC69" i="52"/>
  <c r="W243" i="18" l="1"/>
  <c r="K110"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0" i="18"/>
  <c r="W238" i="18"/>
  <c r="AM281" i="18" l="1"/>
  <c r="AL280" i="18"/>
  <c r="J124" i="52"/>
  <c r="N125" i="52"/>
  <c r="O146" i="52"/>
  <c r="O14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P142" i="52" s="1"/>
  <c r="N143" i="52"/>
  <c r="N144" i="52"/>
  <c r="N145" i="52"/>
  <c r="N146" i="52"/>
  <c r="P146" i="52" s="1"/>
  <c r="J145" i="52"/>
  <c r="J144" i="52"/>
  <c r="J143" i="52"/>
  <c r="J141" i="52"/>
  <c r="J138" i="52"/>
  <c r="J137" i="52"/>
  <c r="J136" i="52"/>
  <c r="J134" i="52"/>
  <c r="J133" i="52"/>
  <c r="J132" i="52"/>
  <c r="J131" i="52"/>
  <c r="J130" i="52"/>
  <c r="J129" i="52"/>
  <c r="J128" i="52"/>
  <c r="J127" i="52"/>
  <c r="W237" i="18"/>
  <c r="P144" i="52" l="1"/>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5"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2"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2"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5" i="18"/>
  <c r="T266" i="18" s="1"/>
  <c r="W226" i="18"/>
  <c r="W225" i="18"/>
  <c r="W224" i="18"/>
  <c r="M48" i="52"/>
  <c r="M47" i="52"/>
  <c r="N38" i="52"/>
  <c r="N37" i="52"/>
  <c r="M49" i="52"/>
  <c r="N50" i="52" s="1"/>
  <c r="AM252" i="18" l="1"/>
  <c r="AL251" i="18"/>
  <c r="D287" i="15"/>
  <c r="F288" i="15"/>
  <c r="N49" i="52"/>
  <c r="W223" i="18"/>
  <c r="AM251" i="18" l="1"/>
  <c r="AL250" i="18"/>
  <c r="F287" i="15"/>
  <c r="D286" i="15"/>
  <c r="J123" i="18"/>
  <c r="J122" i="18"/>
  <c r="G121" i="18"/>
  <c r="J121" i="18" s="1"/>
  <c r="J120" i="18"/>
  <c r="J124" i="18" l="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68" i="18" l="1"/>
  <c r="O67" i="18"/>
  <c r="O66"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6"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1" i="18"/>
  <c r="L108" i="18" s="1"/>
  <c r="N108" i="18" s="1"/>
  <c r="L107" i="18" l="1"/>
  <c r="M111" i="18"/>
  <c r="AM241" i="18"/>
  <c r="AL240" i="18"/>
  <c r="L103" i="18"/>
  <c r="W197" i="18"/>
  <c r="W196"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6" i="18"/>
  <c r="F106" i="18" s="1"/>
  <c r="G104" i="18"/>
  <c r="F104" i="18" s="1"/>
  <c r="G103" i="18"/>
  <c r="F103"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0" i="18"/>
  <c r="AM120" i="18" l="1"/>
  <c r="AL119" i="18"/>
  <c r="AM119" i="18" l="1"/>
  <c r="AL118" i="18"/>
  <c r="T150" i="18"/>
  <c r="S64" i="18"/>
  <c r="S65" i="18" s="1"/>
  <c r="S66" i="18" s="1"/>
  <c r="R171" i="18"/>
  <c r="R169" i="18"/>
  <c r="D57" i="51"/>
  <c r="AL117" i="18" l="1"/>
  <c r="AM118" i="18"/>
  <c r="S67" i="18"/>
  <c r="S68" i="18" s="1"/>
  <c r="AM117" i="18" l="1"/>
  <c r="AL116" i="18"/>
  <c r="S69" i="18"/>
  <c r="S70" i="18" s="1"/>
  <c r="S71" i="18" s="1"/>
  <c r="N31" i="18"/>
  <c r="Q83"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7"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2" i="18" l="1"/>
  <c r="R166" i="18"/>
  <c r="R176" i="18" s="1"/>
  <c r="M103" i="18"/>
  <c r="N103" i="18" s="1"/>
  <c r="N111" i="18" s="1"/>
  <c r="AJ186" i="18"/>
  <c r="AJ187" i="18" s="1"/>
  <c r="S112" i="18"/>
  <c r="G305" i="20"/>
  <c r="I306" i="20"/>
  <c r="K306" i="20"/>
  <c r="J306" i="20"/>
  <c r="AL74" i="18"/>
  <c r="AM75" i="18"/>
  <c r="T253" i="18" l="1"/>
  <c r="V256" i="18" s="1"/>
  <c r="U266" i="18"/>
  <c r="S113" i="18"/>
  <c r="S114" i="18" s="1"/>
  <c r="G304" i="20"/>
  <c r="I305" i="20"/>
  <c r="K305" i="20"/>
  <c r="J305" i="20"/>
  <c r="AL73" i="18"/>
  <c r="AM74" i="18"/>
  <c r="R87" i="18"/>
  <c r="V56" i="18" l="1"/>
  <c r="W56" i="18" s="1"/>
  <c r="V57" i="18"/>
  <c r="X56" i="18"/>
  <c r="V55" i="18"/>
  <c r="W55" i="18" s="1"/>
  <c r="V81" i="18"/>
  <c r="V80" i="18"/>
  <c r="W80" i="18" s="1"/>
  <c r="V54" i="18"/>
  <c r="V53" i="18"/>
  <c r="X53" i="18" s="1"/>
  <c r="V79" i="18"/>
  <c r="V52" i="18"/>
  <c r="X52" i="18" s="1"/>
  <c r="V78" i="18"/>
  <c r="S155" i="18"/>
  <c r="U155" i="18" s="1"/>
  <c r="V155"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6" i="18"/>
  <c r="V31" i="18"/>
  <c r="W31" i="18" s="1"/>
  <c r="V30" i="18"/>
  <c r="W30" i="18" s="1"/>
  <c r="V70" i="18"/>
  <c r="V113" i="18"/>
  <c r="V111" i="18"/>
  <c r="V110" i="18"/>
  <c r="V112" i="18"/>
  <c r="V141"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W57" i="18" l="1"/>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4" i="18"/>
  <c r="R163" i="18" s="1"/>
  <c r="G302" i="20"/>
  <c r="K303" i="20"/>
  <c r="I303" i="20"/>
  <c r="J303" i="20"/>
  <c r="X31" i="18"/>
  <c r="X30" i="18"/>
  <c r="W70" i="18"/>
  <c r="X70" i="18"/>
  <c r="W113" i="18"/>
  <c r="X113" i="18"/>
  <c r="W111" i="18"/>
  <c r="X111" i="18"/>
  <c r="W110" i="18"/>
  <c r="X110" i="18"/>
  <c r="W141" i="18"/>
  <c r="X141"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3" i="18"/>
  <c r="S152"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2" i="18" l="1"/>
  <c r="R162" i="18"/>
  <c r="W114" i="18"/>
  <c r="U154" i="18"/>
  <c r="V154" i="18" s="1"/>
  <c r="N34" i="18"/>
  <c r="L21" i="18" s="1"/>
  <c r="U153" i="18"/>
  <c r="V153"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X135" i="18"/>
  <c r="AJ189" i="18"/>
  <c r="J249" i="20"/>
  <c r="I249" i="20"/>
  <c r="K249" i="20"/>
  <c r="G248" i="20"/>
  <c r="F244" i="15"/>
  <c r="D243" i="15"/>
  <c r="AJ188" i="18"/>
  <c r="E171" i="13"/>
  <c r="G172" i="13"/>
  <c r="V137" i="18" l="1"/>
  <c r="W137" i="18" s="1"/>
  <c r="S138" i="18"/>
  <c r="W136" i="18"/>
  <c r="G247" i="20"/>
  <c r="J248" i="20"/>
  <c r="K248" i="20"/>
  <c r="I248" i="20"/>
  <c r="F243" i="15"/>
  <c r="D242" i="15"/>
  <c r="E170" i="13"/>
  <c r="G171" i="13"/>
  <c r="V138" i="18" l="1"/>
  <c r="X138" i="18" s="1"/>
  <c r="S139" i="18"/>
  <c r="X137" i="18"/>
  <c r="W138" i="18"/>
  <c r="K247" i="20"/>
  <c r="J247" i="20"/>
  <c r="I247" i="20"/>
  <c r="G246" i="20"/>
  <c r="F242" i="15"/>
  <c r="D241" i="15"/>
  <c r="E169" i="13"/>
  <c r="G170" i="13"/>
  <c r="D163" i="20"/>
  <c r="V139" i="18" l="1"/>
  <c r="S140" i="18"/>
  <c r="V140" i="18" s="1"/>
  <c r="W139" i="18"/>
  <c r="X139" i="18"/>
  <c r="G245" i="20"/>
  <c r="J246" i="20"/>
  <c r="K246" i="20"/>
  <c r="I246" i="20"/>
  <c r="F241" i="15"/>
  <c r="D240" i="15"/>
  <c r="E168" i="13"/>
  <c r="G169" i="13"/>
  <c r="W140" i="18" l="1"/>
  <c r="X140" i="18"/>
  <c r="I245" i="20"/>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<sst xmlns="http://schemas.openxmlformats.org/spreadsheetml/2006/main" count="12020" uniqueCount="5135">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</sst>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6" workbookViewId="0">
      <selection activeCell="O29" sqref="O2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5053</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5051</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5043</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5050</v>
      </c>
      <c r="N15" s="18">
        <v>-500000</v>
      </c>
      <c r="O15" s="99">
        <v>7</v>
      </c>
      <c r="P15" s="99"/>
      <c r="Q15" s="99"/>
      <c r="R15" s="99"/>
    </row>
    <row r="16" spans="1:18">
      <c r="A16" s="99"/>
      <c r="B16" s="99"/>
      <c r="C16" s="99"/>
      <c r="D16" s="99">
        <f t="shared" si="0"/>
        <v>0</v>
      </c>
      <c r="E16" s="99"/>
      <c r="F16" s="99">
        <f t="shared" si="1"/>
        <v>0</v>
      </c>
      <c r="G16" s="99"/>
      <c r="H16" s="99"/>
      <c r="M16" s="99" t="s">
        <v>5062</v>
      </c>
      <c r="N16" s="18">
        <v>-7000000</v>
      </c>
      <c r="O16" s="99">
        <v>1</v>
      </c>
      <c r="P16" s="99"/>
      <c r="Q16" s="99"/>
      <c r="R16" s="99"/>
    </row>
    <row r="17" spans="1:18">
      <c r="A17" s="99"/>
      <c r="B17" s="99"/>
      <c r="C17" s="99"/>
      <c r="D17" s="99">
        <f t="shared" si="0"/>
        <v>0</v>
      </c>
      <c r="E17" s="99"/>
      <c r="F17" s="99">
        <f t="shared" si="1"/>
        <v>0</v>
      </c>
      <c r="G17" s="99"/>
      <c r="H17" s="99"/>
      <c r="M17" s="99" t="s">
        <v>5070</v>
      </c>
      <c r="N17" s="18">
        <v>2000000</v>
      </c>
      <c r="O17" s="99">
        <v>6</v>
      </c>
      <c r="P17" s="99"/>
      <c r="Q17" s="99"/>
      <c r="R17" s="99"/>
    </row>
    <row r="18" spans="1:18">
      <c r="A18" s="99"/>
      <c r="B18" s="99"/>
      <c r="C18" s="99"/>
      <c r="D18" s="99">
        <f t="shared" si="0"/>
        <v>0</v>
      </c>
      <c r="E18" s="99"/>
      <c r="F18" s="99">
        <f t="shared" si="1"/>
        <v>0</v>
      </c>
      <c r="G18" s="99"/>
      <c r="H18" s="99"/>
      <c r="M18" s="99" t="s">
        <v>5089</v>
      </c>
      <c r="N18" s="18">
        <v>1000000</v>
      </c>
      <c r="O18" s="99">
        <v>3</v>
      </c>
      <c r="P18" s="99"/>
      <c r="Q18" s="99"/>
      <c r="R18" s="99"/>
    </row>
    <row r="19" spans="1:18">
      <c r="A19" s="99"/>
      <c r="B19" s="99"/>
      <c r="C19" s="99"/>
      <c r="D19" s="99">
        <f t="shared" si="0"/>
        <v>0</v>
      </c>
      <c r="E19" s="99"/>
      <c r="F19" s="99">
        <f t="shared" si="1"/>
        <v>0</v>
      </c>
      <c r="G19" s="99"/>
      <c r="H19" s="99"/>
      <c r="M19" s="99" t="s">
        <v>5105</v>
      </c>
      <c r="N19" s="18">
        <v>200000</v>
      </c>
      <c r="O19" s="99">
        <v>3</v>
      </c>
      <c r="P19" s="99"/>
      <c r="Q19" s="99"/>
      <c r="R19" s="99"/>
    </row>
    <row r="20" spans="1:18">
      <c r="A20" s="99"/>
      <c r="B20" s="99"/>
      <c r="C20" s="99"/>
      <c r="D20" s="99"/>
      <c r="E20" s="99"/>
      <c r="F20" s="99"/>
      <c r="G20" s="99"/>
      <c r="H20" s="99"/>
      <c r="J20" t="s">
        <v>25</v>
      </c>
      <c r="M20" s="99" t="s">
        <v>5111</v>
      </c>
      <c r="N20" s="18">
        <v>-3200000</v>
      </c>
      <c r="O20" s="99">
        <v>1</v>
      </c>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5107</v>
      </c>
      <c r="F67" s="96"/>
      <c r="G67" s="96"/>
      <c r="H67" s="96"/>
      <c r="I67" s="96"/>
      <c r="J67" s="96"/>
      <c r="K67" s="96"/>
      <c r="L67" s="96"/>
      <c r="M67" s="96"/>
      <c r="N67" s="96"/>
      <c r="O67" s="96"/>
      <c r="P67" s="96"/>
      <c r="Q67" s="96"/>
      <c r="R67" s="96"/>
      <c r="S67" s="96"/>
      <c r="T67" s="96"/>
      <c r="U67" s="96"/>
    </row>
    <row r="68" spans="1:21">
      <c r="A68" s="96"/>
      <c r="B68" s="96"/>
      <c r="C68" s="96"/>
      <c r="D68" s="18">
        <v>-150000</v>
      </c>
      <c r="E68" s="257" t="s">
        <v>5119</v>
      </c>
      <c r="F68" s="96"/>
      <c r="G68" s="96"/>
      <c r="H68" s="96"/>
      <c r="I68" s="96"/>
      <c r="J68" s="96"/>
      <c r="K68" s="96"/>
      <c r="L68" s="96"/>
      <c r="M68" s="96"/>
      <c r="N68" s="96"/>
      <c r="O68" s="96"/>
      <c r="P68" s="96"/>
      <c r="Q68" s="96"/>
      <c r="R68" s="96"/>
      <c r="S68" s="96"/>
      <c r="T68" s="96"/>
      <c r="U68" s="96"/>
    </row>
    <row r="69" spans="1:21">
      <c r="A69" s="96"/>
      <c r="B69" s="96"/>
      <c r="C69" s="96"/>
      <c r="D69" s="18">
        <v>-550000</v>
      </c>
      <c r="E69" s="257" t="s">
        <v>5127</v>
      </c>
      <c r="F69" s="96"/>
      <c r="G69" s="96"/>
      <c r="H69" s="96"/>
      <c r="I69" s="96"/>
      <c r="J69" s="96"/>
      <c r="K69" s="96"/>
      <c r="L69" s="96"/>
      <c r="M69" s="96"/>
      <c r="N69" s="96"/>
      <c r="O69" s="96"/>
      <c r="P69" s="96"/>
      <c r="Q69" s="96"/>
      <c r="R69" s="96"/>
      <c r="S69" s="96"/>
      <c r="T69" s="96"/>
      <c r="U69" s="96"/>
    </row>
    <row r="70" spans="1:21">
      <c r="A70" s="96"/>
      <c r="B70" s="96"/>
      <c r="C70" s="96"/>
      <c r="D70" s="18"/>
      <c r="E70" s="257"/>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1" sqref="K3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I15" zoomScale="90" zoomScaleNormal="90" workbookViewId="0">
      <selection activeCell="N110" sqref="N11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2">
        <f>S91</f>
        <v>275</v>
      </c>
      <c r="T20" s="168" t="s">
        <v>4308</v>
      </c>
      <c r="U20" s="168">
        <v>192.1</v>
      </c>
      <c r="V20" s="168">
        <f t="shared" ref="V20:V58" si="6">U20*(1+$R$87+$Q$15*S20/36500)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444</v>
      </c>
      <c r="AM20" s="113">
        <f>AJ20*AL20</f>
        <v>7992000000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644943992.00275505</v>
      </c>
      <c r="M21" s="168" t="s">
        <v>4300</v>
      </c>
      <c r="N21" s="113">
        <f t="shared" ref="N21:N25" si="9">O21*P21</f>
        <v>297511563.60000002</v>
      </c>
      <c r="O21" s="99">
        <v>1343774</v>
      </c>
      <c r="P21" s="186">
        <f>P49</f>
        <v>221.4</v>
      </c>
      <c r="Q21" s="169">
        <v>595156</v>
      </c>
      <c r="R21" s="168" t="s">
        <v>4391</v>
      </c>
      <c r="S21" s="193">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443</v>
      </c>
      <c r="AM21" s="113">
        <f t="shared" ref="AM21:AM120" si="11">AJ21*AL21</f>
        <v>1107500000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4389</v>
      </c>
      <c r="N22" s="113">
        <f t="shared" si="9"/>
        <v>10001271.9</v>
      </c>
      <c r="O22" s="99">
        <v>2199</v>
      </c>
      <c r="P22" s="186">
        <f>P45</f>
        <v>4548.1000000000004</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442</v>
      </c>
      <c r="AM22" s="113">
        <f t="shared" si="11"/>
        <v>3536000000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98'!D73</f>
        <v>-10538909</v>
      </c>
      <c r="M23" s="214" t="s">
        <v>4408</v>
      </c>
      <c r="N23" s="113">
        <f t="shared" si="9"/>
        <v>141025011.59999999</v>
      </c>
      <c r="O23" s="99">
        <v>161061</v>
      </c>
      <c r="P23" s="186">
        <f>P48</f>
        <v>875.6</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441</v>
      </c>
      <c r="AM23" s="113">
        <f t="shared" si="11"/>
        <v>-35082432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583788160.00275505</v>
      </c>
      <c r="G24" s="95">
        <f t="shared" si="0"/>
        <v>-303481814.62081641</v>
      </c>
      <c r="H24" s="11"/>
      <c r="I24" s="96"/>
      <c r="J24" s="96"/>
      <c r="K24" s="214"/>
      <c r="L24" s="117"/>
      <c r="M24" s="214" t="s">
        <v>5117</v>
      </c>
      <c r="N24" s="113">
        <f t="shared" si="9"/>
        <v>169164.9</v>
      </c>
      <c r="O24" s="99">
        <v>303</v>
      </c>
      <c r="P24" s="186">
        <f>P47</f>
        <v>558.29999999999995</v>
      </c>
      <c r="Q24" s="169">
        <v>1353959</v>
      </c>
      <c r="R24" s="168" t="s">
        <v>4428</v>
      </c>
      <c r="S24" s="199">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440</v>
      </c>
      <c r="AM24" s="113">
        <f t="shared" si="11"/>
        <v>72820000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48597011.100000001</v>
      </c>
      <c r="O25" s="99">
        <v>9273</v>
      </c>
      <c r="P25" s="99">
        <f>P46</f>
        <v>5240.7</v>
      </c>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428</v>
      </c>
      <c r="AM25" s="113">
        <f t="shared" si="11"/>
        <v>-12339379956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8">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422</v>
      </c>
      <c r="AM26" s="113">
        <f t="shared" si="11"/>
        <v>7807000000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4458</v>
      </c>
      <c r="N27" s="113">
        <v>705</v>
      </c>
      <c r="O27" s="69" t="s">
        <v>25</v>
      </c>
      <c r="P27" s="99" t="s">
        <v>25</v>
      </c>
      <c r="Q27" s="169">
        <v>220803</v>
      </c>
      <c r="R27" s="168" t="s">
        <v>4230</v>
      </c>
      <c r="S27" s="198">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421</v>
      </c>
      <c r="AM27" s="113">
        <f t="shared" si="11"/>
        <v>-7809550000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90" t="s">
        <v>4393</v>
      </c>
      <c r="N28" s="113">
        <f t="shared" ref="N28:N31" si="13">O28*P28</f>
        <v>4837166.0999999996</v>
      </c>
      <c r="O28" s="69">
        <v>923</v>
      </c>
      <c r="P28" s="99">
        <f>P46</f>
        <v>5240.7</v>
      </c>
      <c r="Q28" s="169">
        <v>1023940</v>
      </c>
      <c r="R28" s="168" t="s">
        <v>4522</v>
      </c>
      <c r="S28" s="198">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420</v>
      </c>
      <c r="AM28" s="113">
        <f t="shared" si="11"/>
        <v>-27283620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5117</v>
      </c>
      <c r="N29" s="113">
        <f t="shared" si="13"/>
        <v>169164.9</v>
      </c>
      <c r="O29" s="69">
        <v>303</v>
      </c>
      <c r="P29" s="99">
        <f>P47</f>
        <v>558.29999999999995</v>
      </c>
      <c r="Q29" s="169">
        <v>168846</v>
      </c>
      <c r="R29" s="168" t="s">
        <v>3691</v>
      </c>
      <c r="S29" s="198">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415</v>
      </c>
      <c r="AM29" s="113">
        <f t="shared" si="11"/>
        <v>2656000000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4"/>
      <c r="L30" s="117"/>
      <c r="M30" s="190" t="s">
        <v>4408</v>
      </c>
      <c r="N30" s="113">
        <f t="shared" si="13"/>
        <v>1404462.4000000001</v>
      </c>
      <c r="O30" s="69">
        <v>1604</v>
      </c>
      <c r="P30" s="99">
        <f>P48</f>
        <v>875.6</v>
      </c>
      <c r="Q30" s="169">
        <v>250962</v>
      </c>
      <c r="R30" s="168" t="s">
        <v>4655</v>
      </c>
      <c r="S30" s="198">
        <f>S29-10</f>
        <v>150</v>
      </c>
      <c r="T30" s="168" t="s">
        <v>4656</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414</v>
      </c>
      <c r="AM30" s="113">
        <f t="shared" si="11"/>
        <v>-70380000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4"/>
      <c r="L31" s="117"/>
      <c r="M31" s="190" t="s">
        <v>4437</v>
      </c>
      <c r="N31" s="113">
        <f t="shared" si="13"/>
        <v>69472441.799999997</v>
      </c>
      <c r="O31" s="69">
        <v>313787</v>
      </c>
      <c r="P31" s="99">
        <f>P49</f>
        <v>221.4</v>
      </c>
      <c r="Q31" s="169">
        <v>350718</v>
      </c>
      <c r="R31" s="214" t="s">
        <v>4690</v>
      </c>
      <c r="S31" s="198">
        <f>S30-7</f>
        <v>143</v>
      </c>
      <c r="T31" s="214" t="s">
        <v>4691</v>
      </c>
      <c r="U31" s="214">
        <v>502.3</v>
      </c>
      <c r="V31" s="214">
        <f t="shared" si="6"/>
        <v>565.03658191780823</v>
      </c>
      <c r="W31" s="32">
        <f t="shared" si="7"/>
        <v>576.33731355616442</v>
      </c>
      <c r="X31" s="32">
        <f t="shared" si="8"/>
        <v>587.6380451945206</v>
      </c>
      <c r="Y31" s="96"/>
      <c r="Z31" s="96"/>
      <c r="AH31" s="99">
        <v>12</v>
      </c>
      <c r="AI31" s="113" t="s">
        <v>1233</v>
      </c>
      <c r="AJ31" s="113">
        <v>-6300000</v>
      </c>
      <c r="AK31" s="99">
        <v>1</v>
      </c>
      <c r="AL31" s="99">
        <f>AL32+AK31</f>
        <v>409</v>
      </c>
      <c r="AM31" s="113">
        <f t="shared" si="11"/>
        <v>-2576700000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4" t="s">
        <v>3684</v>
      </c>
      <c r="S32" s="198">
        <f>S31-15</f>
        <v>128</v>
      </c>
      <c r="T32" s="214" t="s">
        <v>4729</v>
      </c>
      <c r="U32" s="214">
        <v>486.4</v>
      </c>
      <c r="V32" s="214">
        <f t="shared" si="6"/>
        <v>541.55376219178083</v>
      </c>
      <c r="W32" s="32">
        <f t="shared" si="7"/>
        <v>552.38483743561642</v>
      </c>
      <c r="X32" s="32">
        <f t="shared" si="8"/>
        <v>563.21591267945212</v>
      </c>
      <c r="Y32" s="96"/>
      <c r="Z32" s="96"/>
      <c r="AH32" s="99">
        <v>13</v>
      </c>
      <c r="AI32" s="113" t="s">
        <v>1242</v>
      </c>
      <c r="AJ32" s="113">
        <v>-52015</v>
      </c>
      <c r="AK32" s="99">
        <v>16</v>
      </c>
      <c r="AL32" s="99">
        <f t="shared" si="10"/>
        <v>408</v>
      </c>
      <c r="AM32" s="113">
        <f t="shared" si="11"/>
        <v>-21222120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4" t="s">
        <v>4730</v>
      </c>
      <c r="S33" s="198">
        <f>S32-1</f>
        <v>127</v>
      </c>
      <c r="T33" s="214" t="s">
        <v>4731</v>
      </c>
      <c r="U33" s="214">
        <v>476.1</v>
      </c>
      <c r="V33" s="214">
        <f t="shared" si="6"/>
        <v>529.7205994520549</v>
      </c>
      <c r="W33" s="32">
        <f t="shared" si="7"/>
        <v>540.31501144109598</v>
      </c>
      <c r="X33" s="32">
        <f t="shared" si="8"/>
        <v>550.90942343013717</v>
      </c>
      <c r="Y33" s="96"/>
      <c r="Z33" s="96"/>
      <c r="AH33" s="99">
        <v>14</v>
      </c>
      <c r="AI33" s="113" t="s">
        <v>3708</v>
      </c>
      <c r="AJ33" s="113">
        <v>20017400</v>
      </c>
      <c r="AK33" s="99">
        <v>0</v>
      </c>
      <c r="AL33" s="99">
        <f t="shared" si="10"/>
        <v>392</v>
      </c>
      <c r="AM33" s="113">
        <f t="shared" si="11"/>
        <v>7846820800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-S153</f>
        <v>-644943992.00275505</v>
      </c>
      <c r="O34" s="96" t="s">
        <v>25</v>
      </c>
      <c r="P34" s="96" t="s">
        <v>25</v>
      </c>
      <c r="Q34" s="169">
        <v>1563192</v>
      </c>
      <c r="R34" s="214" t="s">
        <v>4730</v>
      </c>
      <c r="S34" s="198">
        <f>S33</f>
        <v>127</v>
      </c>
      <c r="T34" s="214" t="s">
        <v>4732</v>
      </c>
      <c r="U34" s="214">
        <v>168.8</v>
      </c>
      <c r="V34" s="214">
        <f t="shared" si="6"/>
        <v>187.81104219178084</v>
      </c>
      <c r="W34" s="32">
        <f t="shared" ref="W34:W58" si="14">V34*(1+$W$19/100)</f>
        <v>191.56726303561646</v>
      </c>
      <c r="X34" s="32">
        <f t="shared" ref="X34:X58" si="15">V34*(1+$X$19/100)</f>
        <v>195.32348387945208</v>
      </c>
      <c r="Y34" s="96"/>
      <c r="Z34" s="96"/>
      <c r="AH34" s="99">
        <v>15</v>
      </c>
      <c r="AI34" s="113" t="s">
        <v>3708</v>
      </c>
      <c r="AJ34" s="113">
        <v>1014466</v>
      </c>
      <c r="AK34" s="99">
        <v>12</v>
      </c>
      <c r="AL34" s="99">
        <f t="shared" si="10"/>
        <v>392</v>
      </c>
      <c r="AM34" s="113">
        <f t="shared" si="11"/>
        <v>397670672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4" t="s">
        <v>4748</v>
      </c>
      <c r="S35" s="198">
        <f>S34-6</f>
        <v>121</v>
      </c>
      <c r="T35" s="214" t="s">
        <v>4752</v>
      </c>
      <c r="U35" s="214">
        <v>525.1</v>
      </c>
      <c r="V35" s="214">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380</v>
      </c>
      <c r="AM35" s="113">
        <f t="shared" si="11"/>
        <v>136800000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4" t="s">
        <v>4756</v>
      </c>
      <c r="S36" s="198">
        <f>S35-1</f>
        <v>120</v>
      </c>
      <c r="T36" s="214" t="s">
        <v>4761</v>
      </c>
      <c r="U36" s="214">
        <v>529.79999999999995</v>
      </c>
      <c r="V36" s="214">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378</v>
      </c>
      <c r="AM36" s="113">
        <f t="shared" si="11"/>
        <v>-132300000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5074</v>
      </c>
      <c r="L37" s="117">
        <v>-47500000</v>
      </c>
      <c r="M37" s="73"/>
      <c r="N37" s="113"/>
      <c r="O37" s="96" t="s">
        <v>25</v>
      </c>
      <c r="P37" s="96" t="s">
        <v>25</v>
      </c>
      <c r="Q37" s="169">
        <v>5420397</v>
      </c>
      <c r="R37" s="214" t="s">
        <v>4756</v>
      </c>
      <c r="S37" s="198">
        <f>S36</f>
        <v>120</v>
      </c>
      <c r="T37" s="214" t="s">
        <v>4762</v>
      </c>
      <c r="U37" s="214">
        <v>5395.9</v>
      </c>
      <c r="V37" s="214">
        <f t="shared" si="6"/>
        <v>5974.636145753424</v>
      </c>
      <c r="W37" s="32">
        <f t="shared" si="14"/>
        <v>6094.1288686684929</v>
      </c>
      <c r="X37" s="32">
        <f t="shared" si="15"/>
        <v>6213.621591583561</v>
      </c>
      <c r="Y37" s="96" t="s">
        <v>25</v>
      </c>
      <c r="Z37" s="96"/>
      <c r="AH37" s="99">
        <v>18</v>
      </c>
      <c r="AI37" s="113" t="s">
        <v>3768</v>
      </c>
      <c r="AJ37" s="113">
        <v>1000</v>
      </c>
      <c r="AK37" s="99">
        <v>1</v>
      </c>
      <c r="AL37" s="99">
        <f t="shared" si="10"/>
        <v>378</v>
      </c>
      <c r="AM37" s="113">
        <f t="shared" si="11"/>
        <v>378000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14040000</v>
      </c>
      <c r="O38" s="96"/>
      <c r="P38" s="96" t="s">
        <v>25</v>
      </c>
      <c r="Q38" s="169">
        <v>5809833</v>
      </c>
      <c r="R38" s="214" t="s">
        <v>4858</v>
      </c>
      <c r="S38" s="198">
        <f>S37-21</f>
        <v>99</v>
      </c>
      <c r="T38" s="214" t="s">
        <v>4862</v>
      </c>
      <c r="U38" s="214">
        <v>587.29999999999995</v>
      </c>
      <c r="V38" s="214">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377</v>
      </c>
      <c r="AM38" s="113">
        <f t="shared" si="11"/>
        <v>12670970000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5072</v>
      </c>
      <c r="N39" s="113">
        <v>-18000000</v>
      </c>
      <c r="O39" s="245" t="s">
        <v>25</v>
      </c>
      <c r="P39" s="114"/>
      <c r="Q39" s="169">
        <v>164707</v>
      </c>
      <c r="R39" s="214" t="s">
        <v>4912</v>
      </c>
      <c r="S39" s="198">
        <f>S38-28</f>
        <v>71</v>
      </c>
      <c r="T39" s="214" t="s">
        <v>4913</v>
      </c>
      <c r="U39" s="214">
        <v>633</v>
      </c>
      <c r="V39" s="214">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373</v>
      </c>
      <c r="AM39" s="113">
        <f t="shared" si="11"/>
        <v>-5818800000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t="s">
        <v>5110</v>
      </c>
      <c r="L40" s="117">
        <v>205000</v>
      </c>
      <c r="M40" s="168" t="s">
        <v>5073</v>
      </c>
      <c r="N40" s="113">
        <v>-47000000</v>
      </c>
      <c r="O40" s="96" t="s">
        <v>25</v>
      </c>
      <c r="P40" s="96" t="s">
        <v>25</v>
      </c>
      <c r="Q40" s="169">
        <v>1204691</v>
      </c>
      <c r="R40" s="214" t="s">
        <v>4977</v>
      </c>
      <c r="S40" s="198">
        <f>S39-20</f>
        <v>51</v>
      </c>
      <c r="T40" s="214" t="s">
        <v>4978</v>
      </c>
      <c r="U40" s="214">
        <v>218.5</v>
      </c>
      <c r="V40" s="214">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370</v>
      </c>
      <c r="AM40" s="113">
        <f t="shared" si="11"/>
        <v>2775000000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4" t="s">
        <v>4981</v>
      </c>
      <c r="S41" s="198">
        <f>S40-3</f>
        <v>48</v>
      </c>
      <c r="T41" s="214" t="s">
        <v>4985</v>
      </c>
      <c r="U41" s="214">
        <v>197.1</v>
      </c>
      <c r="V41" s="214">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366</v>
      </c>
      <c r="AM41" s="113">
        <f t="shared" si="11"/>
        <v>-35868000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1000</v>
      </c>
      <c r="P42" t="s">
        <v>25</v>
      </c>
      <c r="Q42" s="169">
        <v>35272425</v>
      </c>
      <c r="R42" s="214" t="s">
        <v>4996</v>
      </c>
      <c r="S42" s="198">
        <f>S41-5</f>
        <v>43</v>
      </c>
      <c r="T42" s="214" t="s">
        <v>4999</v>
      </c>
      <c r="U42" s="214">
        <v>4730.8999999999996</v>
      </c>
      <c r="V42" s="214">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365</v>
      </c>
      <c r="AM42" s="113">
        <f t="shared" si="11"/>
        <v>-9490000000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5" t="s">
        <v>5114</v>
      </c>
      <c r="L43" s="117">
        <v>-9795000</v>
      </c>
      <c r="M43" s="168"/>
      <c r="N43" s="113"/>
      <c r="O43" s="99"/>
      <c r="P43" s="99"/>
      <c r="Q43" s="169">
        <v>3098904</v>
      </c>
      <c r="R43" s="214" t="s">
        <v>4997</v>
      </c>
      <c r="S43" s="198">
        <f>S42</f>
        <v>43</v>
      </c>
      <c r="T43" s="214" t="s">
        <v>5000</v>
      </c>
      <c r="U43" s="214">
        <v>671.9</v>
      </c>
      <c r="V43" s="214">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365</v>
      </c>
      <c r="AM43" s="113">
        <f t="shared" si="11"/>
        <v>9125000000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4567</v>
      </c>
      <c r="N44" s="117">
        <f t="shared" ref="N44:N50" si="16">O44*P44</f>
        <v>73155</v>
      </c>
      <c r="O44" s="69">
        <v>50</v>
      </c>
      <c r="P44" s="69">
        <v>1463.1</v>
      </c>
      <c r="Q44" s="169">
        <v>12803120</v>
      </c>
      <c r="R44" s="214" t="s">
        <v>4998</v>
      </c>
      <c r="S44" s="198">
        <f>S43</f>
        <v>43</v>
      </c>
      <c r="T44" s="214" t="s">
        <v>5001</v>
      </c>
      <c r="U44" s="214">
        <v>194.4</v>
      </c>
      <c r="V44" s="214">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364</v>
      </c>
      <c r="AM44" s="113">
        <f t="shared" si="11"/>
        <v>40040000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4389</v>
      </c>
      <c r="N45" s="117">
        <f t="shared" si="16"/>
        <v>104606.3</v>
      </c>
      <c r="O45" s="69">
        <v>23</v>
      </c>
      <c r="P45" s="69">
        <v>4548.1000000000004</v>
      </c>
      <c r="Q45" s="169">
        <v>100562</v>
      </c>
      <c r="R45" s="214" t="s">
        <v>5007</v>
      </c>
      <c r="S45" s="198">
        <f>S44-6</f>
        <v>37</v>
      </c>
      <c r="T45" s="214" t="s">
        <v>5008</v>
      </c>
      <c r="U45" s="214">
        <v>190.3</v>
      </c>
      <c r="V45" s="214">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363</v>
      </c>
      <c r="AM45" s="113">
        <f t="shared" si="11"/>
        <v>137940000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96041068.200000003</v>
      </c>
      <c r="O46" s="69">
        <v>18326</v>
      </c>
      <c r="P46" s="69">
        <v>5240.7</v>
      </c>
      <c r="Q46" s="169">
        <v>198647697</v>
      </c>
      <c r="R46" s="214" t="s">
        <v>5011</v>
      </c>
      <c r="S46" s="198">
        <f>S45-2</f>
        <v>35</v>
      </c>
      <c r="T46" s="214" t="s">
        <v>5060</v>
      </c>
      <c r="U46" s="214">
        <v>195.5</v>
      </c>
      <c r="V46" s="214">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356</v>
      </c>
      <c r="AM46" s="113">
        <f t="shared" si="11"/>
        <v>160200000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5117</v>
      </c>
      <c r="N47" s="113">
        <f t="shared" si="16"/>
        <v>169164.9</v>
      </c>
      <c r="O47" s="69">
        <v>303</v>
      </c>
      <c r="P47" s="69">
        <v>558.29999999999995</v>
      </c>
      <c r="Q47" s="169">
        <v>118852</v>
      </c>
      <c r="R47" s="214" t="s">
        <v>5040</v>
      </c>
      <c r="S47" s="198">
        <f>S46-12</f>
        <v>23</v>
      </c>
      <c r="T47" s="214" t="s">
        <v>5041</v>
      </c>
      <c r="U47" s="214">
        <v>739.4</v>
      </c>
      <c r="V47" s="214">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350</v>
      </c>
      <c r="AM47" s="113">
        <f t="shared" si="11"/>
        <v>980000000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94950064</v>
      </c>
      <c r="O48" s="69">
        <v>108440</v>
      </c>
      <c r="P48" s="69">
        <v>875.6</v>
      </c>
      <c r="Q48" s="169">
        <v>109071</v>
      </c>
      <c r="R48" s="214" t="s">
        <v>5050</v>
      </c>
      <c r="S48" s="198">
        <f>S47-2</f>
        <v>21</v>
      </c>
      <c r="T48" s="214" t="s">
        <v>5054</v>
      </c>
      <c r="U48" s="214">
        <v>4720.8</v>
      </c>
      <c r="V48" s="214">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349</v>
      </c>
      <c r="AM48" s="113">
        <f t="shared" si="11"/>
        <v>-523500000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606372976.80000007</v>
      </c>
      <c r="O49" s="99">
        <v>2738812</v>
      </c>
      <c r="P49" s="99">
        <v>221.4</v>
      </c>
      <c r="Q49" s="169">
        <v>9986627</v>
      </c>
      <c r="R49" s="214" t="s">
        <v>5062</v>
      </c>
      <c r="S49" s="198">
        <f>S48-7</f>
        <v>14</v>
      </c>
      <c r="T49" s="214" t="s">
        <v>5067</v>
      </c>
      <c r="U49" s="214">
        <v>200.2</v>
      </c>
      <c r="V49" s="214">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349</v>
      </c>
      <c r="AM49" s="113">
        <f t="shared" si="11"/>
        <v>1064450000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468000</v>
      </c>
      <c r="Q50" s="169">
        <v>499908</v>
      </c>
      <c r="R50" s="214" t="s">
        <v>5070</v>
      </c>
      <c r="S50" s="198">
        <f>S49-1</f>
        <v>13</v>
      </c>
      <c r="T50" s="214" t="s">
        <v>5075</v>
      </c>
      <c r="U50" s="214">
        <v>200</v>
      </c>
      <c r="V50" s="214">
        <f t="shared" si="6"/>
        <v>205.03452054794522</v>
      </c>
      <c r="W50" s="32">
        <f t="shared" si="14"/>
        <v>209.13521095890414</v>
      </c>
      <c r="X50" s="32">
        <f t="shared" si="15"/>
        <v>213.23590136986303</v>
      </c>
      <c r="Y50" t="s">
        <v>25</v>
      </c>
      <c r="AA50" s="96"/>
      <c r="AH50" s="99">
        <v>31</v>
      </c>
      <c r="AI50" s="113" t="s">
        <v>3936</v>
      </c>
      <c r="AJ50" s="113">
        <v>-8299612</v>
      </c>
      <c r="AK50" s="99">
        <v>2</v>
      </c>
      <c r="AL50" s="99">
        <f t="shared" si="10"/>
        <v>346</v>
      </c>
      <c r="AM50" s="113">
        <f t="shared" si="11"/>
        <v>-2871665752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4" t="s">
        <v>5078</v>
      </c>
      <c r="S51" s="198">
        <f>S50-1</f>
        <v>12</v>
      </c>
      <c r="T51" s="214" t="s">
        <v>5079</v>
      </c>
      <c r="U51" s="214">
        <v>201.9</v>
      </c>
      <c r="V51" s="214">
        <f t="shared" si="6"/>
        <v>206.8274663013699</v>
      </c>
      <c r="W51" s="32">
        <f t="shared" si="14"/>
        <v>210.96401562739729</v>
      </c>
      <c r="X51" s="32">
        <f t="shared" si="15"/>
        <v>215.10056495342471</v>
      </c>
      <c r="AA51" s="96"/>
      <c r="AH51" s="99">
        <v>32</v>
      </c>
      <c r="AI51" s="113" t="s">
        <v>3931</v>
      </c>
      <c r="AJ51" s="113">
        <v>5000000</v>
      </c>
      <c r="AK51" s="99">
        <v>14</v>
      </c>
      <c r="AL51" s="99">
        <f t="shared" si="10"/>
        <v>344</v>
      </c>
      <c r="AM51" s="113">
        <f t="shared" si="11"/>
        <v>1720000000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119890</v>
      </c>
      <c r="R52" s="214" t="s">
        <v>5094</v>
      </c>
      <c r="S52" s="198">
        <f>S51-6</f>
        <v>6</v>
      </c>
      <c r="T52" s="214" t="s">
        <v>5096</v>
      </c>
      <c r="U52" s="214">
        <v>210.1</v>
      </c>
      <c r="V52" s="214">
        <f t="shared" si="6"/>
        <v>214.26055561643835</v>
      </c>
      <c r="W52" s="32">
        <f t="shared" si="14"/>
        <v>218.54576672876712</v>
      </c>
      <c r="X52" s="32">
        <f t="shared" si="15"/>
        <v>222.83097784109589</v>
      </c>
      <c r="Y52" t="s">
        <v>25</v>
      </c>
      <c r="AA52" s="96"/>
      <c r="AH52" s="99">
        <v>33</v>
      </c>
      <c r="AI52" s="113" t="s">
        <v>990</v>
      </c>
      <c r="AJ52" s="113">
        <v>-90000</v>
      </c>
      <c r="AK52" s="99">
        <v>1</v>
      </c>
      <c r="AL52" s="99">
        <f t="shared" si="10"/>
        <v>330</v>
      </c>
      <c r="AM52" s="113">
        <f t="shared" si="11"/>
        <v>-29700000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155246</v>
      </c>
      <c r="R53" s="214" t="s">
        <v>5111</v>
      </c>
      <c r="S53" s="198">
        <f>S52-5</f>
        <v>1</v>
      </c>
      <c r="T53" s="214" t="s">
        <v>5118</v>
      </c>
      <c r="U53" s="214">
        <v>510</v>
      </c>
      <c r="V53" s="214">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329</v>
      </c>
      <c r="AM53" s="113">
        <f t="shared" si="11"/>
        <v>1842400000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102858</v>
      </c>
      <c r="R54" s="214" t="s">
        <v>5120</v>
      </c>
      <c r="S54" s="198">
        <f>S53-1</f>
        <v>0</v>
      </c>
      <c r="T54" s="214" t="s">
        <v>5123</v>
      </c>
      <c r="U54" s="214">
        <v>213.3</v>
      </c>
      <c r="V54" s="214">
        <f t="shared" si="6"/>
        <v>216.54216000000002</v>
      </c>
      <c r="W54" s="32">
        <f t="shared" si="14"/>
        <v>220.87300320000003</v>
      </c>
      <c r="X54" s="32">
        <f t="shared" si="15"/>
        <v>225.20384640000003</v>
      </c>
      <c r="Y54" t="s">
        <v>25</v>
      </c>
      <c r="AH54" s="99">
        <v>35</v>
      </c>
      <c r="AI54" s="113" t="s">
        <v>3981</v>
      </c>
      <c r="AJ54" s="113">
        <v>750000</v>
      </c>
      <c r="AK54" s="99">
        <v>2</v>
      </c>
      <c r="AL54" s="99">
        <f t="shared" si="10"/>
        <v>325</v>
      </c>
      <c r="AM54" s="113">
        <f t="shared" si="11"/>
        <v>243750000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v>1324444</v>
      </c>
      <c r="R55" s="214" t="s">
        <v>5120</v>
      </c>
      <c r="S55" s="198">
        <f>S54</f>
        <v>0</v>
      </c>
      <c r="T55" s="214" t="s">
        <v>5125</v>
      </c>
      <c r="U55" s="214">
        <v>821.9</v>
      </c>
      <c r="V55" s="214">
        <f t="shared" si="6"/>
        <v>834.3928800000001</v>
      </c>
      <c r="W55" s="32">
        <f t="shared" si="14"/>
        <v>851.08073760000013</v>
      </c>
      <c r="X55" s="32">
        <f t="shared" si="15"/>
        <v>867.76859520000016</v>
      </c>
      <c r="Y55" t="s">
        <v>25</v>
      </c>
      <c r="AH55" s="171">
        <v>36</v>
      </c>
      <c r="AI55" s="170" t="s">
        <v>3991</v>
      </c>
      <c r="AJ55" s="170">
        <v>-4242000</v>
      </c>
      <c r="AK55" s="171">
        <v>2</v>
      </c>
      <c r="AL55" s="171">
        <f t="shared" si="10"/>
        <v>323</v>
      </c>
      <c r="AM55" s="170">
        <f t="shared" si="11"/>
        <v>-1370166000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9991144</v>
      </c>
      <c r="R56" s="214" t="s">
        <v>5129</v>
      </c>
      <c r="S56" s="198">
        <f>S55-2</f>
        <v>-2</v>
      </c>
      <c r="T56" s="214" t="s">
        <v>5131</v>
      </c>
      <c r="U56" s="214">
        <v>221</v>
      </c>
      <c r="V56" s="214">
        <f t="shared" si="6"/>
        <v>224.02013150684934</v>
      </c>
      <c r="W56" s="32">
        <f t="shared" si="14"/>
        <v>228.50053413698632</v>
      </c>
      <c r="X56" s="32">
        <f t="shared" si="15"/>
        <v>232.98093676712332</v>
      </c>
      <c r="Y56" s="96" t="s">
        <v>25</v>
      </c>
      <c r="AH56" s="99">
        <v>37</v>
      </c>
      <c r="AI56" s="113" t="s">
        <v>3991</v>
      </c>
      <c r="AJ56" s="113">
        <v>4100000</v>
      </c>
      <c r="AK56" s="99">
        <v>0</v>
      </c>
      <c r="AL56" s="99">
        <f t="shared" si="10"/>
        <v>321</v>
      </c>
      <c r="AM56" s="113">
        <f t="shared" si="11"/>
        <v>1316100000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10007690</v>
      </c>
      <c r="R57" s="214" t="s">
        <v>5129</v>
      </c>
      <c r="S57" s="198">
        <f>S56</f>
        <v>-2</v>
      </c>
      <c r="T57" s="214" t="s">
        <v>5132</v>
      </c>
      <c r="U57" s="214">
        <v>4530</v>
      </c>
      <c r="V57" s="214">
        <f t="shared" si="6"/>
        <v>4591.9058630136988</v>
      </c>
      <c r="W57" s="32">
        <f t="shared" si="14"/>
        <v>4683.7439802739727</v>
      </c>
      <c r="X57" s="32">
        <f t="shared" si="15"/>
        <v>4775.5820975342467</v>
      </c>
      <c r="AH57" s="99">
        <v>38</v>
      </c>
      <c r="AI57" s="113" t="s">
        <v>3997</v>
      </c>
      <c r="AJ57" s="113">
        <v>4100000</v>
      </c>
      <c r="AK57" s="99">
        <v>1</v>
      </c>
      <c r="AL57" s="99">
        <f t="shared" si="10"/>
        <v>321</v>
      </c>
      <c r="AM57" s="113">
        <f t="shared" si="11"/>
        <v>1316100000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-S154</f>
        <v>-19136248.793776345</v>
      </c>
      <c r="Q58" s="169"/>
      <c r="R58" s="168"/>
      <c r="S58" s="168"/>
      <c r="T58" s="168"/>
      <c r="U58" s="168"/>
      <c r="V58" s="214">
        <f t="shared" si="6"/>
        <v>0</v>
      </c>
      <c r="W58" s="32">
        <f t="shared" si="14"/>
        <v>0</v>
      </c>
      <c r="X58" s="32">
        <f t="shared" si="15"/>
        <v>0</v>
      </c>
      <c r="Y58" t="s">
        <v>25</v>
      </c>
      <c r="AH58" s="99">
        <v>39</v>
      </c>
      <c r="AI58" s="113" t="s">
        <v>4006</v>
      </c>
      <c r="AJ58" s="113">
        <v>790000</v>
      </c>
      <c r="AK58" s="99">
        <v>15</v>
      </c>
      <c r="AL58" s="99">
        <f t="shared" si="10"/>
        <v>320</v>
      </c>
      <c r="AM58" s="113">
        <f t="shared" si="11"/>
        <v>252800000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92584364.100000024</v>
      </c>
      <c r="R59" s="168"/>
      <c r="S59" s="168" t="s">
        <v>25</v>
      </c>
      <c r="T59" s="168"/>
      <c r="U59" s="168"/>
      <c r="V59" s="168"/>
      <c r="W59" s="32"/>
      <c r="X59" s="32"/>
      <c r="Y59" t="s">
        <v>25</v>
      </c>
      <c r="Z59" s="96"/>
      <c r="AA59" s="96"/>
      <c r="AB59" s="96"/>
      <c r="AC59" s="96"/>
      <c r="AH59" s="171">
        <v>40</v>
      </c>
      <c r="AI59" s="170" t="s">
        <v>4037</v>
      </c>
      <c r="AJ59" s="170">
        <v>-3865000</v>
      </c>
      <c r="AK59" s="171">
        <v>6</v>
      </c>
      <c r="AL59" s="171">
        <f t="shared" si="10"/>
        <v>305</v>
      </c>
      <c r="AM59" s="172">
        <f t="shared" si="11"/>
        <v>-1178825000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15"/>
      <c r="U60" s="115" t="s">
        <v>25</v>
      </c>
      <c r="V60" s="115" t="s">
        <v>25</v>
      </c>
      <c r="W60" s="195" t="s">
        <v>25</v>
      </c>
      <c r="X60" s="195"/>
      <c r="Y60" t="s">
        <v>25</v>
      </c>
      <c r="Z60" s="96"/>
      <c r="AA60" s="96"/>
      <c r="AB60" s="96"/>
      <c r="AC60" s="96"/>
      <c r="AH60" s="20">
        <v>41</v>
      </c>
      <c r="AI60" s="117" t="s">
        <v>4067</v>
      </c>
      <c r="AJ60" s="117">
        <v>18800000</v>
      </c>
      <c r="AK60" s="20">
        <v>3</v>
      </c>
      <c r="AL60" s="99">
        <f t="shared" si="10"/>
        <v>299</v>
      </c>
      <c r="AM60" s="113">
        <f t="shared" si="11"/>
        <v>5621200000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583788160.00275505</v>
      </c>
      <c r="M61" s="168"/>
      <c r="N61" s="113">
        <f>SUM(N16:N60)</f>
        <v>660758480.70346856</v>
      </c>
      <c r="Q61" s="96"/>
      <c r="R61" s="115"/>
      <c r="S61" s="115"/>
      <c r="T61" s="115" t="s">
        <v>25</v>
      </c>
      <c r="U61" s="115" t="s">
        <v>25</v>
      </c>
      <c r="V61" s="115"/>
      <c r="W61" s="195"/>
      <c r="X61" s="195" t="s">
        <v>25</v>
      </c>
      <c r="Y61" t="s">
        <v>25</v>
      </c>
      <c r="Z61" s="96"/>
      <c r="AA61" s="96"/>
      <c r="AB61" s="96"/>
      <c r="AC61" s="96"/>
      <c r="AH61" s="20">
        <v>42</v>
      </c>
      <c r="AI61" s="117" t="s">
        <v>4084</v>
      </c>
      <c r="AJ61" s="117">
        <v>500000</v>
      </c>
      <c r="AK61" s="20">
        <v>1</v>
      </c>
      <c r="AL61" s="99">
        <f t="shared" si="10"/>
        <v>296</v>
      </c>
      <c r="AM61" s="113">
        <f t="shared" si="11"/>
        <v>148000000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295</v>
      </c>
      <c r="AM62" s="113">
        <f t="shared" si="11"/>
        <v>59000000</v>
      </c>
      <c r="AN62" s="20"/>
    </row>
    <row r="63" spans="1:45" ht="30">
      <c r="E63" s="26"/>
      <c r="K63" s="56" t="s">
        <v>716</v>
      </c>
      <c r="L63" s="1">
        <f>L61+N7</f>
        <v>653788160.00275505</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10"/>
        <v>292</v>
      </c>
      <c r="AM63" s="113">
        <f t="shared" si="11"/>
        <v>292000000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289</v>
      </c>
      <c r="AM64" s="113">
        <f t="shared" si="11"/>
        <v>375700000</v>
      </c>
      <c r="AN64" s="20"/>
    </row>
    <row r="65" spans="1:40">
      <c r="M65" s="25"/>
      <c r="O65" t="s">
        <v>25</v>
      </c>
      <c r="Q65" s="169">
        <v>863944</v>
      </c>
      <c r="R65" s="168" t="s">
        <v>4436</v>
      </c>
      <c r="S65" s="168">
        <f>S64-62</f>
        <v>213</v>
      </c>
      <c r="T65" s="191" t="s">
        <v>4508</v>
      </c>
      <c r="U65" s="168">
        <v>184.6</v>
      </c>
      <c r="V65" s="168">
        <f t="shared" ref="V65:V82" si="17">U65*(1+$R$87+$Q$15*S65/36500)</f>
        <v>217.56905424657535</v>
      </c>
      <c r="W65" s="32">
        <f t="shared" ref="W65:W82" si="18">V65*(1+$W$19/100)</f>
        <v>221.92043533150687</v>
      </c>
      <c r="X65" s="32">
        <f t="shared" ref="X65:X82" si="19">V65*(1+$X$19/100)</f>
        <v>226.27181641643838</v>
      </c>
      <c r="Z65" s="96"/>
      <c r="AA65" s="96"/>
      <c r="AB65" s="96"/>
      <c r="AC65" s="96"/>
      <c r="AH65" s="20">
        <v>45</v>
      </c>
      <c r="AI65" s="117" t="s">
        <v>4107</v>
      </c>
      <c r="AJ65" s="117">
        <v>995000</v>
      </c>
      <c r="AK65" s="20">
        <v>2</v>
      </c>
      <c r="AL65" s="99">
        <f t="shared" ref="AL65:AL92" si="20">AL66+AK65</f>
        <v>289</v>
      </c>
      <c r="AM65" s="113">
        <f t="shared" si="11"/>
        <v>287555000</v>
      </c>
      <c r="AN65" s="20"/>
    </row>
    <row r="66" spans="1:40">
      <c r="M66" s="25" t="s">
        <v>4080</v>
      </c>
      <c r="N66" s="99" t="s">
        <v>452</v>
      </c>
      <c r="O66" s="113">
        <f>O49*25</f>
        <v>68470300</v>
      </c>
      <c r="P66" s="115"/>
      <c r="Q66" s="169">
        <v>1692313</v>
      </c>
      <c r="R66" s="168" t="s">
        <v>4511</v>
      </c>
      <c r="S66" s="198">
        <f>S65-21</f>
        <v>192</v>
      </c>
      <c r="T66" s="190" t="s">
        <v>4512</v>
      </c>
      <c r="U66" s="168">
        <v>168.5</v>
      </c>
      <c r="V66" s="168">
        <f t="shared" si="17"/>
        <v>195.87917260273974</v>
      </c>
      <c r="W66" s="32">
        <f t="shared" si="18"/>
        <v>199.79675605479454</v>
      </c>
      <c r="X66" s="32">
        <f t="shared" si="19"/>
        <v>203.71433950684934</v>
      </c>
      <c r="Y66" t="s">
        <v>25</v>
      </c>
      <c r="Z66" s="96"/>
      <c r="AA66" s="96"/>
      <c r="AB66" s="96"/>
      <c r="AC66" s="96"/>
      <c r="AH66" s="20">
        <v>46</v>
      </c>
      <c r="AI66" s="117" t="s">
        <v>4117</v>
      </c>
      <c r="AJ66" s="117">
        <v>13000000</v>
      </c>
      <c r="AK66" s="20">
        <v>2</v>
      </c>
      <c r="AL66" s="99">
        <f t="shared" si="20"/>
        <v>287</v>
      </c>
      <c r="AM66" s="113">
        <f t="shared" si="11"/>
        <v>3731000000</v>
      </c>
      <c r="AN66" s="20"/>
    </row>
    <row r="67" spans="1:40">
      <c r="A67" t="s">
        <v>25</v>
      </c>
      <c r="F67" t="s">
        <v>310</v>
      </c>
      <c r="G67" t="s">
        <v>4099</v>
      </c>
      <c r="M67" s="177"/>
      <c r="N67" s="99" t="s">
        <v>1087</v>
      </c>
      <c r="O67" s="113">
        <f>O31*25</f>
        <v>7844675</v>
      </c>
      <c r="P67" s="115"/>
      <c r="Q67" s="169">
        <v>101153</v>
      </c>
      <c r="R67" s="168" t="s">
        <v>4514</v>
      </c>
      <c r="S67" s="198">
        <f>S66-1</f>
        <v>191</v>
      </c>
      <c r="T67" s="190" t="s">
        <v>4516</v>
      </c>
      <c r="U67" s="168">
        <v>166.7</v>
      </c>
      <c r="V67" s="168">
        <f t="shared" si="17"/>
        <v>193.65881534246574</v>
      </c>
      <c r="W67" s="32">
        <f t="shared" si="18"/>
        <v>197.53199164931507</v>
      </c>
      <c r="X67" s="32">
        <f t="shared" si="19"/>
        <v>201.40516795616438</v>
      </c>
      <c r="Y67" t="s">
        <v>25</v>
      </c>
      <c r="Z67" s="96"/>
      <c r="AA67" s="96"/>
      <c r="AB67" s="96"/>
      <c r="AC67" s="96"/>
      <c r="AH67" s="20">
        <v>47</v>
      </c>
      <c r="AI67" s="117" t="s">
        <v>4130</v>
      </c>
      <c r="AJ67" s="117">
        <v>-3100000</v>
      </c>
      <c r="AK67" s="20">
        <v>3</v>
      </c>
      <c r="AL67" s="99">
        <f t="shared" si="20"/>
        <v>285</v>
      </c>
      <c r="AM67" s="113">
        <f t="shared" si="11"/>
        <v>-883500000</v>
      </c>
      <c r="AN67" s="20"/>
    </row>
    <row r="68" spans="1:40">
      <c r="F68" t="s">
        <v>4103</v>
      </c>
      <c r="G68" t="s">
        <v>4098</v>
      </c>
      <c r="M68" s="96" t="s">
        <v>4811</v>
      </c>
      <c r="N68" s="99" t="s">
        <v>751</v>
      </c>
      <c r="O68" s="113">
        <f>O21*25</f>
        <v>33594350</v>
      </c>
      <c r="Q68" s="169">
        <v>183105</v>
      </c>
      <c r="R68" s="168" t="s">
        <v>4230</v>
      </c>
      <c r="S68" s="198">
        <f>S67-1</f>
        <v>190</v>
      </c>
      <c r="T68" s="190" t="s">
        <v>4520</v>
      </c>
      <c r="U68" s="168">
        <v>166.6</v>
      </c>
      <c r="V68" s="168">
        <f t="shared" si="17"/>
        <v>193.41484054794523</v>
      </c>
      <c r="W68" s="32">
        <f t="shared" si="18"/>
        <v>197.28313735890413</v>
      </c>
      <c r="X68" s="32">
        <f t="shared" si="19"/>
        <v>201.15143416986305</v>
      </c>
      <c r="Z68" s="96"/>
      <c r="AA68" s="96"/>
      <c r="AB68" s="96"/>
      <c r="AC68" s="96"/>
      <c r="AH68" s="20">
        <v>48</v>
      </c>
      <c r="AI68" s="117" t="s">
        <v>4145</v>
      </c>
      <c r="AJ68" s="117">
        <v>45640000</v>
      </c>
      <c r="AK68" s="20">
        <v>1</v>
      </c>
      <c r="AL68" s="99">
        <f t="shared" si="20"/>
        <v>282</v>
      </c>
      <c r="AM68" s="113">
        <f t="shared" si="11"/>
        <v>12870480000</v>
      </c>
      <c r="AN68" s="20"/>
    </row>
    <row r="69" spans="1:40">
      <c r="F69" t="s">
        <v>4104</v>
      </c>
      <c r="G69" t="s">
        <v>4100</v>
      </c>
      <c r="M69" s="122" t="s">
        <v>4409</v>
      </c>
      <c r="O69" s="114"/>
      <c r="Q69" s="169">
        <v>168846</v>
      </c>
      <c r="R69" s="168" t="s">
        <v>3691</v>
      </c>
      <c r="S69" s="198">
        <f>S68-30</f>
        <v>160</v>
      </c>
      <c r="T69" s="190" t="s">
        <v>4617</v>
      </c>
      <c r="U69" s="168">
        <v>172.2</v>
      </c>
      <c r="V69" s="168">
        <f t="shared" si="17"/>
        <v>195.9532208219178</v>
      </c>
      <c r="W69" s="32">
        <f t="shared" si="18"/>
        <v>199.87228523835614</v>
      </c>
      <c r="X69" s="32">
        <f t="shared" si="19"/>
        <v>203.79134965479452</v>
      </c>
      <c r="Z69" s="96"/>
      <c r="AA69" s="96"/>
      <c r="AB69" s="96"/>
      <c r="AC69" s="96"/>
      <c r="AH69" s="20">
        <v>49</v>
      </c>
      <c r="AI69" s="117" t="s">
        <v>4151</v>
      </c>
      <c r="AJ69" s="117">
        <v>33500000</v>
      </c>
      <c r="AK69" s="20">
        <v>1</v>
      </c>
      <c r="AL69" s="99">
        <f t="shared" si="20"/>
        <v>281</v>
      </c>
      <c r="AM69" s="113">
        <f t="shared" si="11"/>
        <v>9413500000</v>
      </c>
      <c r="AN69" s="20"/>
    </row>
    <row r="70" spans="1:40">
      <c r="G70" t="s">
        <v>4101</v>
      </c>
      <c r="M70" s="122" t="s">
        <v>4505</v>
      </c>
      <c r="N70" s="96"/>
      <c r="Q70" s="169">
        <v>250962</v>
      </c>
      <c r="R70" s="168" t="s">
        <v>4655</v>
      </c>
      <c r="S70" s="198">
        <f>S69-10</f>
        <v>150</v>
      </c>
      <c r="T70" s="190" t="s">
        <v>4656</v>
      </c>
      <c r="U70" s="168">
        <v>5315.5</v>
      </c>
      <c r="V70" s="168">
        <f t="shared" si="17"/>
        <v>6007.9421753424658</v>
      </c>
      <c r="W70" s="32">
        <f t="shared" si="18"/>
        <v>6128.1010188493156</v>
      </c>
      <c r="X70" s="32">
        <f t="shared" si="19"/>
        <v>6248.2598623561644</v>
      </c>
      <c r="AH70" s="20">
        <v>50</v>
      </c>
      <c r="AI70" s="117" t="s">
        <v>4156</v>
      </c>
      <c r="AJ70" s="117">
        <v>12000000</v>
      </c>
      <c r="AK70" s="20">
        <v>1</v>
      </c>
      <c r="AL70" s="99">
        <f t="shared" si="20"/>
        <v>280</v>
      </c>
      <c r="AM70" s="117">
        <f t="shared" si="11"/>
        <v>3360000000</v>
      </c>
      <c r="AN70" s="20"/>
    </row>
    <row r="71" spans="1:40">
      <c r="G71" t="s">
        <v>4102</v>
      </c>
      <c r="M71" s="122" t="s">
        <v>4575</v>
      </c>
      <c r="N71" s="96"/>
      <c r="P71" t="s">
        <v>25</v>
      </c>
      <c r="Q71" s="169">
        <v>5499944</v>
      </c>
      <c r="R71" s="5" t="s">
        <v>4880</v>
      </c>
      <c r="S71" s="198">
        <f>S70-65</f>
        <v>85</v>
      </c>
      <c r="T71" s="190" t="s">
        <v>5092</v>
      </c>
      <c r="U71" s="214">
        <v>6250.1</v>
      </c>
      <c r="V71" s="214">
        <f t="shared" si="17"/>
        <v>6752.642287123288</v>
      </c>
      <c r="W71" s="32">
        <f t="shared" si="18"/>
        <v>6887.6951328657542</v>
      </c>
      <c r="X71" s="32">
        <f t="shared" si="19"/>
        <v>7022.7479786082195</v>
      </c>
      <c r="AH71" s="20">
        <v>51</v>
      </c>
      <c r="AI71" s="117" t="s">
        <v>4162</v>
      </c>
      <c r="AJ71" s="117">
        <v>15500000</v>
      </c>
      <c r="AK71" s="20">
        <v>4</v>
      </c>
      <c r="AL71" s="99">
        <f t="shared" si="20"/>
        <v>279</v>
      </c>
      <c r="AM71" s="117">
        <f t="shared" si="11"/>
        <v>4324500000</v>
      </c>
      <c r="AN71" s="20"/>
    </row>
    <row r="72" spans="1:40" ht="30">
      <c r="G72" t="s">
        <v>4106</v>
      </c>
      <c r="K72" s="213" t="s">
        <v>4744</v>
      </c>
      <c r="L72" s="22" t="s">
        <v>4720</v>
      </c>
      <c r="M72" s="207" t="s">
        <v>4699</v>
      </c>
      <c r="N72" s="96"/>
      <c r="P72" s="115"/>
      <c r="Q72" s="169">
        <v>19918023</v>
      </c>
      <c r="R72" s="5" t="s">
        <v>4880</v>
      </c>
      <c r="S72" s="198">
        <f>S71</f>
        <v>85</v>
      </c>
      <c r="T72" s="190" t="s">
        <v>4883</v>
      </c>
      <c r="U72" s="214">
        <v>183</v>
      </c>
      <c r="V72" s="214">
        <f t="shared" si="17"/>
        <v>197.71420273972603</v>
      </c>
      <c r="W72" s="32">
        <f t="shared" si="18"/>
        <v>201.66848679452056</v>
      </c>
      <c r="X72" s="32">
        <f t="shared" si="19"/>
        <v>205.62277084931509</v>
      </c>
      <c r="AH72" s="20">
        <v>52</v>
      </c>
      <c r="AI72" s="117" t="s">
        <v>4166</v>
      </c>
      <c r="AJ72" s="117">
        <v>150000</v>
      </c>
      <c r="AK72" s="20">
        <v>1</v>
      </c>
      <c r="AL72" s="99">
        <f t="shared" si="20"/>
        <v>275</v>
      </c>
      <c r="AM72" s="117">
        <f t="shared" si="11"/>
        <v>41250000</v>
      </c>
      <c r="AN72" s="20"/>
    </row>
    <row r="73" spans="1:40" ht="21">
      <c r="G73" t="s">
        <v>4105</v>
      </c>
      <c r="K73" t="s">
        <v>4745</v>
      </c>
      <c r="M73" s="261" t="s">
        <v>5088</v>
      </c>
      <c r="N73" s="96"/>
      <c r="P73" s="115" t="s">
        <v>25</v>
      </c>
      <c r="Q73" s="169">
        <v>1200301</v>
      </c>
      <c r="R73" s="19" t="s">
        <v>4977</v>
      </c>
      <c r="S73" s="198">
        <f>S72-34</f>
        <v>51</v>
      </c>
      <c r="T73" s="190" t="s">
        <v>4979</v>
      </c>
      <c r="U73" s="214">
        <v>218.5</v>
      </c>
      <c r="V73" s="214">
        <f t="shared" si="17"/>
        <v>230.36963835616439</v>
      </c>
      <c r="W73" s="32">
        <f t="shared" si="18"/>
        <v>234.97703112328767</v>
      </c>
      <c r="X73" s="32">
        <f t="shared" si="19"/>
        <v>239.58442389041096</v>
      </c>
      <c r="AH73" s="179">
        <v>53</v>
      </c>
      <c r="AI73" s="180" t="s">
        <v>4172</v>
      </c>
      <c r="AJ73" s="180">
        <v>29000000</v>
      </c>
      <c r="AK73" s="179">
        <v>15</v>
      </c>
      <c r="AL73" s="179">
        <f t="shared" si="20"/>
        <v>274</v>
      </c>
      <c r="AM73" s="180">
        <f t="shared" si="11"/>
        <v>7946000000</v>
      </c>
      <c r="AN73" s="179" t="s">
        <v>4185</v>
      </c>
    </row>
    <row r="74" spans="1:40">
      <c r="K74" t="s">
        <v>4578</v>
      </c>
      <c r="L74" s="96"/>
      <c r="M74" s="122"/>
      <c r="O74" t="s">
        <v>25</v>
      </c>
      <c r="P74" s="115"/>
      <c r="Q74" s="169">
        <v>6135206</v>
      </c>
      <c r="R74" s="19" t="s">
        <v>5011</v>
      </c>
      <c r="S74" s="198">
        <f>S73-16</f>
        <v>35</v>
      </c>
      <c r="T74" s="190" t="s">
        <v>5012</v>
      </c>
      <c r="U74" s="214">
        <v>196.2</v>
      </c>
      <c r="V74" s="214">
        <f t="shared" si="17"/>
        <v>204.45007561643837</v>
      </c>
      <c r="W74" s="32">
        <f t="shared" si="18"/>
        <v>208.53907712876713</v>
      </c>
      <c r="X74" s="32">
        <f t="shared" si="19"/>
        <v>212.6280786410959</v>
      </c>
      <c r="AH74" s="20">
        <v>54</v>
      </c>
      <c r="AI74" s="117" t="s">
        <v>4209</v>
      </c>
      <c r="AJ74" s="117">
        <v>-130000</v>
      </c>
      <c r="AK74" s="20">
        <v>7</v>
      </c>
      <c r="AL74" s="99">
        <f t="shared" si="20"/>
        <v>259</v>
      </c>
      <c r="AM74" s="117">
        <f t="shared" si="11"/>
        <v>-33670000</v>
      </c>
      <c r="AN74" s="20" t="s">
        <v>4211</v>
      </c>
    </row>
    <row r="75" spans="1:40">
      <c r="G75" s="48" t="s">
        <v>788</v>
      </c>
      <c r="H75" s="202" t="s">
        <v>476</v>
      </c>
      <c r="K75" t="s">
        <v>4812</v>
      </c>
      <c r="M75" s="96">
        <f>O49+O21+O31-O55</f>
        <v>4396373</v>
      </c>
      <c r="N75" s="113">
        <f>M75*P49</f>
        <v>973356982.20000005</v>
      </c>
      <c r="P75" s="115"/>
      <c r="Q75" s="169">
        <v>104578</v>
      </c>
      <c r="R75" s="19" t="s">
        <v>5035</v>
      </c>
      <c r="S75" s="198">
        <f>S74-9</f>
        <v>26</v>
      </c>
      <c r="T75" s="190" t="s">
        <v>5036</v>
      </c>
      <c r="U75" s="214">
        <v>199.8</v>
      </c>
      <c r="V75" s="214">
        <f t="shared" si="17"/>
        <v>206.82201205479456</v>
      </c>
      <c r="W75" s="32">
        <f t="shared" si="18"/>
        <v>210.95845229589045</v>
      </c>
      <c r="X75" s="32">
        <f t="shared" si="19"/>
        <v>215.09489253698635</v>
      </c>
      <c r="AH75" s="20">
        <v>55</v>
      </c>
      <c r="AI75" s="117" t="s">
        <v>4257</v>
      </c>
      <c r="AJ75" s="117">
        <v>232000</v>
      </c>
      <c r="AK75" s="20">
        <v>2</v>
      </c>
      <c r="AL75" s="99">
        <f t="shared" si="20"/>
        <v>252</v>
      </c>
      <c r="AM75" s="117">
        <f>AJ75*AL75</f>
        <v>58464000</v>
      </c>
      <c r="AN75" s="20" t="s">
        <v>4259</v>
      </c>
    </row>
    <row r="76" spans="1:40">
      <c r="D76" s="3"/>
      <c r="E76" s="11" t="s">
        <v>304</v>
      </c>
      <c r="G76" s="47">
        <v>700000</v>
      </c>
      <c r="H76" s="202" t="s">
        <v>1039</v>
      </c>
      <c r="K76" t="s">
        <v>4813</v>
      </c>
      <c r="M76" t="s">
        <v>4266</v>
      </c>
      <c r="P76" s="115"/>
      <c r="Q76" s="169">
        <v>119253</v>
      </c>
      <c r="R76" s="19" t="s">
        <v>5040</v>
      </c>
      <c r="S76" s="198">
        <f>S75-3</f>
        <v>23</v>
      </c>
      <c r="T76" s="190" t="s">
        <v>5042</v>
      </c>
      <c r="U76" s="214">
        <v>199.5</v>
      </c>
      <c r="V76" s="214">
        <f t="shared" si="17"/>
        <v>206.05234520547947</v>
      </c>
      <c r="W76" s="32">
        <f t="shared" si="18"/>
        <v>210.17339210958906</v>
      </c>
      <c r="X76" s="32">
        <f t="shared" si="19"/>
        <v>214.29443901369865</v>
      </c>
      <c r="Y76" s="122" t="s">
        <v>25</v>
      </c>
      <c r="AH76" s="20">
        <v>56</v>
      </c>
      <c r="AI76" s="117" t="s">
        <v>4268</v>
      </c>
      <c r="AJ76" s="117">
        <v>-170000</v>
      </c>
      <c r="AK76" s="20">
        <v>3</v>
      </c>
      <c r="AL76" s="99">
        <f t="shared" si="20"/>
        <v>250</v>
      </c>
      <c r="AM76" s="117">
        <f t="shared" si="11"/>
        <v>-42500000</v>
      </c>
      <c r="AN76" s="20"/>
    </row>
    <row r="77" spans="1:40">
      <c r="D77" s="1" t="s">
        <v>305</v>
      </c>
      <c r="E77" s="1">
        <v>70000</v>
      </c>
      <c r="G77" s="47">
        <v>500000</v>
      </c>
      <c r="H77" s="202" t="s">
        <v>479</v>
      </c>
      <c r="K77" t="s">
        <v>4814</v>
      </c>
      <c r="M77" t="s">
        <v>4580</v>
      </c>
      <c r="N77" t="s">
        <v>25</v>
      </c>
      <c r="P77" s="115"/>
      <c r="Q77" s="169">
        <v>30004376</v>
      </c>
      <c r="R77" s="19" t="s">
        <v>5062</v>
      </c>
      <c r="S77" s="198">
        <f>S76-9</f>
        <v>14</v>
      </c>
      <c r="T77" s="190" t="s">
        <v>5063</v>
      </c>
      <c r="U77" s="214">
        <v>200</v>
      </c>
      <c r="V77" s="214">
        <f t="shared" si="17"/>
        <v>205.18794520547948</v>
      </c>
      <c r="W77" s="32">
        <f t="shared" si="18"/>
        <v>209.29170410958906</v>
      </c>
      <c r="X77" s="32">
        <f t="shared" si="19"/>
        <v>213.39546301369867</v>
      </c>
      <c r="Y77" t="s">
        <v>25</v>
      </c>
      <c r="AA77" t="s">
        <v>25</v>
      </c>
      <c r="AH77" s="20">
        <v>57</v>
      </c>
      <c r="AI77" s="117" t="s">
        <v>4282</v>
      </c>
      <c r="AJ77" s="117">
        <v>-300000</v>
      </c>
      <c r="AK77" s="20">
        <v>3</v>
      </c>
      <c r="AL77" s="99">
        <f t="shared" si="20"/>
        <v>247</v>
      </c>
      <c r="AM77" s="117">
        <f t="shared" si="11"/>
        <v>-74100000</v>
      </c>
      <c r="AN77" s="20"/>
    </row>
    <row r="78" spans="1:40" ht="26.25">
      <c r="D78" s="1" t="s">
        <v>321</v>
      </c>
      <c r="E78" s="1">
        <v>100000</v>
      </c>
      <c r="G78" s="47">
        <v>180000</v>
      </c>
      <c r="H78" s="202" t="s">
        <v>558</v>
      </c>
      <c r="K78" t="s">
        <v>4538</v>
      </c>
      <c r="M78" s="258"/>
      <c r="P78" s="115"/>
      <c r="Q78" s="169">
        <v>119980</v>
      </c>
      <c r="R78" s="19" t="s">
        <v>5094</v>
      </c>
      <c r="S78" s="198">
        <f>S77-8</f>
        <v>6</v>
      </c>
      <c r="T78" s="190" t="s">
        <v>5097</v>
      </c>
      <c r="U78" s="214">
        <v>211</v>
      </c>
      <c r="V78" s="214">
        <f t="shared" si="17"/>
        <v>215.17837808219178</v>
      </c>
      <c r="W78" s="32">
        <f t="shared" si="18"/>
        <v>219.48194564383562</v>
      </c>
      <c r="X78" s="32">
        <f t="shared" si="19"/>
        <v>223.78551320547948</v>
      </c>
      <c r="AD78" s="115"/>
      <c r="AE78" s="115"/>
      <c r="AH78" s="20">
        <v>58</v>
      </c>
      <c r="AI78" s="117" t="s">
        <v>4291</v>
      </c>
      <c r="AJ78" s="117">
        <v>-11400000</v>
      </c>
      <c r="AK78" s="20">
        <v>13</v>
      </c>
      <c r="AL78" s="99">
        <f t="shared" ref="AL78:AL83" si="21">AL79+AK78</f>
        <v>244</v>
      </c>
      <c r="AM78" s="117">
        <f t="shared" si="11"/>
        <v>-2781600000</v>
      </c>
      <c r="AN78" s="20"/>
    </row>
    <row r="79" spans="1:40">
      <c r="D79" s="1" t="s">
        <v>306</v>
      </c>
      <c r="E79" s="1">
        <v>80000</v>
      </c>
      <c r="G79" s="47">
        <v>0</v>
      </c>
      <c r="H79" s="202" t="s">
        <v>784</v>
      </c>
      <c r="K79" t="s">
        <v>4582</v>
      </c>
      <c r="M79" t="s">
        <v>5055</v>
      </c>
      <c r="P79" s="115"/>
      <c r="Q79" s="169">
        <v>155246</v>
      </c>
      <c r="R79" s="19" t="s">
        <v>5111</v>
      </c>
      <c r="S79" s="198">
        <f>S78-5</f>
        <v>1</v>
      </c>
      <c r="T79" s="190" t="s">
        <v>5118</v>
      </c>
      <c r="U79" s="214">
        <v>510</v>
      </c>
      <c r="V79" s="214">
        <f t="shared" si="17"/>
        <v>518.14323287671232</v>
      </c>
      <c r="W79" s="32">
        <f t="shared" si="18"/>
        <v>528.50609753424658</v>
      </c>
      <c r="X79" s="32">
        <f t="shared" si="19"/>
        <v>538.86896219178084</v>
      </c>
      <c r="AC79" s="115"/>
      <c r="AD79" s="115"/>
      <c r="AE79" s="115"/>
      <c r="AF79"/>
      <c r="AH79" s="20">
        <v>59</v>
      </c>
      <c r="AI79" s="117" t="s">
        <v>4346</v>
      </c>
      <c r="AJ79" s="117">
        <v>-10000000</v>
      </c>
      <c r="AK79" s="20">
        <v>1</v>
      </c>
      <c r="AL79" s="99">
        <f t="shared" si="21"/>
        <v>231</v>
      </c>
      <c r="AM79" s="117">
        <f>AJ79*AL79</f>
        <v>-2310000000</v>
      </c>
      <c r="AN79" s="20"/>
    </row>
    <row r="80" spans="1:40">
      <c r="D80" s="31" t="s">
        <v>307</v>
      </c>
      <c r="E80" s="1">
        <v>150000</v>
      </c>
      <c r="G80" s="47">
        <v>0</v>
      </c>
      <c r="H80" s="202" t="s">
        <v>785</v>
      </c>
      <c r="J80" t="s">
        <v>25</v>
      </c>
      <c r="K80" t="s">
        <v>4537</v>
      </c>
      <c r="M80" s="264" t="s">
        <v>5100</v>
      </c>
      <c r="P80" s="115"/>
      <c r="Q80" s="169">
        <v>106716</v>
      </c>
      <c r="R80" s="19" t="s">
        <v>5120</v>
      </c>
      <c r="S80" s="198">
        <f>S79-1</f>
        <v>0</v>
      </c>
      <c r="T80" s="190" t="s">
        <v>5122</v>
      </c>
      <c r="U80" s="214">
        <v>213.3</v>
      </c>
      <c r="V80" s="214">
        <f t="shared" si="17"/>
        <v>216.54216000000002</v>
      </c>
      <c r="W80" s="32">
        <f t="shared" si="18"/>
        <v>220.87300320000003</v>
      </c>
      <c r="X80" s="32">
        <f t="shared" si="19"/>
        <v>225.20384640000003</v>
      </c>
      <c r="AC80" s="115"/>
      <c r="AD80" s="115"/>
      <c r="AE80" s="115"/>
      <c r="AF80"/>
      <c r="AH80" s="20">
        <v>60</v>
      </c>
      <c r="AI80" s="117" t="s">
        <v>4347</v>
      </c>
      <c r="AJ80" s="117">
        <v>-2450000</v>
      </c>
      <c r="AK80" s="20">
        <v>5</v>
      </c>
      <c r="AL80" s="99">
        <f t="shared" si="21"/>
        <v>230</v>
      </c>
      <c r="AM80" s="117">
        <f>AJ80*AL80</f>
        <v>-563500000</v>
      </c>
      <c r="AN80" s="20"/>
    </row>
    <row r="81" spans="4:52">
      <c r="D81" s="31" t="s">
        <v>308</v>
      </c>
      <c r="E81" s="1">
        <v>300000</v>
      </c>
      <c r="G81" s="47">
        <v>500000</v>
      </c>
      <c r="H81" s="48" t="s">
        <v>786</v>
      </c>
      <c r="K81" s="22" t="s">
        <v>4242</v>
      </c>
      <c r="M81" s="264" t="s">
        <v>5101</v>
      </c>
      <c r="O81" t="s">
        <v>25</v>
      </c>
      <c r="P81" t="s">
        <v>25</v>
      </c>
      <c r="Q81" s="169">
        <v>1324444</v>
      </c>
      <c r="R81" s="19" t="s">
        <v>5120</v>
      </c>
      <c r="S81" s="198">
        <f>S80</f>
        <v>0</v>
      </c>
      <c r="T81" s="190" t="s">
        <v>5125</v>
      </c>
      <c r="U81" s="214">
        <v>821.9</v>
      </c>
      <c r="V81" s="214">
        <f t="shared" si="17"/>
        <v>834.3928800000001</v>
      </c>
      <c r="W81" s="32">
        <f t="shared" si="18"/>
        <v>851.08073760000013</v>
      </c>
      <c r="X81" s="32">
        <f t="shared" si="19"/>
        <v>867.76859520000016</v>
      </c>
      <c r="AD81" s="115"/>
      <c r="AE81" s="115"/>
      <c r="AF81" s="115"/>
      <c r="AH81" s="20">
        <v>61</v>
      </c>
      <c r="AI81" s="117" t="s">
        <v>4371</v>
      </c>
      <c r="AJ81" s="117">
        <v>-456081</v>
      </c>
      <c r="AK81" s="20">
        <v>1</v>
      </c>
      <c r="AL81" s="99">
        <f t="shared" si="21"/>
        <v>225</v>
      </c>
      <c r="AM81" s="117">
        <f t="shared" si="11"/>
        <v>-102618225</v>
      </c>
      <c r="AN81" s="20"/>
    </row>
    <row r="82" spans="4:52">
      <c r="D82" s="31" t="s">
        <v>309</v>
      </c>
      <c r="E82" s="1">
        <v>100000</v>
      </c>
      <c r="G82" s="47">
        <v>75000</v>
      </c>
      <c r="H82" s="48" t="s">
        <v>787</v>
      </c>
      <c r="K82" t="s">
        <v>4534</v>
      </c>
      <c r="Q82" s="169"/>
      <c r="R82" s="168"/>
      <c r="S82" s="113"/>
      <c r="T82" s="113"/>
      <c r="U82" s="168"/>
      <c r="V82" s="168">
        <f t="shared" si="17"/>
        <v>0</v>
      </c>
      <c r="W82" s="32">
        <f t="shared" si="18"/>
        <v>0</v>
      </c>
      <c r="X82" s="32">
        <f t="shared" si="19"/>
        <v>0</v>
      </c>
      <c r="Y82" s="96" t="s">
        <v>25</v>
      </c>
      <c r="Z82" s="115"/>
      <c r="AA82" s="115"/>
      <c r="AB82" s="115"/>
      <c r="AC82" s="115"/>
      <c r="AD82" s="115"/>
      <c r="AE82" s="115"/>
      <c r="AF82" s="115"/>
      <c r="AH82" s="20">
        <v>62</v>
      </c>
      <c r="AI82" s="117" t="s">
        <v>4373</v>
      </c>
      <c r="AJ82" s="117">
        <v>-500000</v>
      </c>
      <c r="AK82" s="20">
        <v>2</v>
      </c>
      <c r="AL82" s="99">
        <f t="shared" si="21"/>
        <v>224</v>
      </c>
      <c r="AM82" s="117">
        <f t="shared" si="11"/>
        <v>-112000000</v>
      </c>
      <c r="AN82" s="20"/>
      <c r="AO82" t="s">
        <v>25</v>
      </c>
      <c r="AU82"/>
      <c r="AW82" t="s">
        <v>25</v>
      </c>
    </row>
    <row r="83" spans="4:52">
      <c r="D83" s="31" t="s">
        <v>310</v>
      </c>
      <c r="E83" s="1">
        <v>200000</v>
      </c>
      <c r="G83" s="47">
        <v>0</v>
      </c>
      <c r="H83" s="48" t="s">
        <v>789</v>
      </c>
      <c r="K83" t="s">
        <v>4295</v>
      </c>
      <c r="Q83" s="113">
        <f>SUM(N28:N31)-SUM(Q64:Q82)</f>
        <v>7934845.200000003</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21"/>
        <v>222</v>
      </c>
      <c r="AM83" s="117">
        <f t="shared" si="11"/>
        <v>-1384030140</v>
      </c>
      <c r="AN83" s="20"/>
      <c r="AU83"/>
    </row>
    <row r="84" spans="4:52">
      <c r="D84" s="18" t="s">
        <v>311</v>
      </c>
      <c r="E84" s="18">
        <v>300000</v>
      </c>
      <c r="G84" s="47">
        <v>500000</v>
      </c>
      <c r="H84" s="48" t="s">
        <v>564</v>
      </c>
      <c r="J84">
        <v>0</v>
      </c>
      <c r="K84" t="s">
        <v>25</v>
      </c>
      <c r="R84" s="115"/>
      <c r="S84" s="115"/>
      <c r="T84" s="115" t="s">
        <v>25</v>
      </c>
      <c r="U84" s="115"/>
      <c r="V84" s="115" t="s">
        <v>25</v>
      </c>
      <c r="W84" s="195" t="s">
        <v>25</v>
      </c>
      <c r="X84" s="195"/>
      <c r="Y84" s="96"/>
      <c r="Z84" s="115"/>
      <c r="AA84" s="115"/>
      <c r="AB84" s="115"/>
      <c r="AC84" s="128"/>
      <c r="AD84" s="115"/>
      <c r="AE84" s="115"/>
      <c r="AF84" s="115"/>
      <c r="AH84" s="20">
        <v>64</v>
      </c>
      <c r="AI84" s="117" t="s">
        <v>4402</v>
      </c>
      <c r="AJ84" s="117">
        <v>1950957</v>
      </c>
      <c r="AK84" s="20">
        <v>4</v>
      </c>
      <c r="AL84" s="99">
        <f t="shared" si="20"/>
        <v>219</v>
      </c>
      <c r="AM84" s="117">
        <f t="shared" si="11"/>
        <v>427259583</v>
      </c>
      <c r="AN84" s="20"/>
      <c r="AZ84" t="s">
        <v>25</v>
      </c>
    </row>
    <row r="85" spans="4:52">
      <c r="D85" s="32" t="s">
        <v>312</v>
      </c>
      <c r="E85" s="1">
        <v>200000</v>
      </c>
      <c r="G85" s="47">
        <v>50000</v>
      </c>
      <c r="H85" s="48" t="s">
        <v>792</v>
      </c>
      <c r="K85" s="96"/>
      <c r="M85" s="194" t="s">
        <v>4533</v>
      </c>
      <c r="Q85" s="99" t="s">
        <v>949</v>
      </c>
      <c r="R85" s="99">
        <v>1.03E-2</v>
      </c>
      <c r="S85" s="26" t="s">
        <v>25</v>
      </c>
      <c r="T85" t="s">
        <v>25</v>
      </c>
      <c r="U85" s="96" t="s">
        <v>25</v>
      </c>
      <c r="V85" s="115" t="s">
        <v>25</v>
      </c>
      <c r="W85" s="195" t="s">
        <v>25</v>
      </c>
      <c r="X85" s="195"/>
      <c r="Y85" s="96"/>
      <c r="Z85" s="115"/>
      <c r="AA85" s="115"/>
      <c r="AB85" s="115"/>
      <c r="AC85" s="128"/>
      <c r="AD85" s="115"/>
      <c r="AE85" s="115"/>
      <c r="AF85" s="115"/>
      <c r="AH85" s="20">
        <v>65</v>
      </c>
      <c r="AI85" s="117" t="s">
        <v>4428</v>
      </c>
      <c r="AJ85" s="117">
        <v>600000</v>
      </c>
      <c r="AK85" s="20">
        <v>5</v>
      </c>
      <c r="AL85" s="99">
        <f t="shared" si="20"/>
        <v>215</v>
      </c>
      <c r="AM85" s="117">
        <f t="shared" si="11"/>
        <v>129000000</v>
      </c>
      <c r="AN85" s="20"/>
    </row>
    <row r="86" spans="4:52">
      <c r="D86" s="32" t="s">
        <v>313</v>
      </c>
      <c r="E86" s="1">
        <v>20000</v>
      </c>
      <c r="G86" s="47">
        <v>140000</v>
      </c>
      <c r="H86" s="48" t="s">
        <v>314</v>
      </c>
      <c r="K86" s="96"/>
      <c r="M86" t="s">
        <v>4534</v>
      </c>
      <c r="Q86" s="99" t="s">
        <v>61</v>
      </c>
      <c r="R86" s="99">
        <v>4.8999999999999998E-3</v>
      </c>
      <c r="T86" t="s">
        <v>25</v>
      </c>
      <c r="V86" t="s">
        <v>25</v>
      </c>
      <c r="W86" s="195" t="s">
        <v>25</v>
      </c>
      <c r="X86" s="195"/>
      <c r="Y86" s="96"/>
      <c r="Z86" s="115"/>
      <c r="AA86" s="115"/>
      <c r="AB86" s="115"/>
      <c r="AC86" s="128"/>
      <c r="AD86" s="115"/>
      <c r="AE86" s="115"/>
      <c r="AF86" s="115"/>
      <c r="AH86" s="20">
        <v>66</v>
      </c>
      <c r="AI86" s="117" t="s">
        <v>4438</v>
      </c>
      <c r="AJ86" s="117">
        <v>7500000</v>
      </c>
      <c r="AK86" s="20">
        <v>2</v>
      </c>
      <c r="AL86" s="99">
        <f t="shared" si="20"/>
        <v>210</v>
      </c>
      <c r="AM86" s="117">
        <f t="shared" si="11"/>
        <v>1575000000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5"/>
      <c r="X87" s="195"/>
      <c r="Y87" s="96"/>
      <c r="Z87" s="115"/>
      <c r="AA87" s="115"/>
      <c r="AB87" s="115"/>
      <c r="AC87" s="128"/>
      <c r="AD87" s="115"/>
      <c r="AE87" s="115"/>
      <c r="AF87" s="115"/>
      <c r="AH87" s="20">
        <v>67</v>
      </c>
      <c r="AI87" s="117" t="s">
        <v>4443</v>
      </c>
      <c r="AJ87" s="117">
        <v>-587816</v>
      </c>
      <c r="AK87" s="20">
        <v>3</v>
      </c>
      <c r="AL87" s="99">
        <f t="shared" si="20"/>
        <v>208</v>
      </c>
      <c r="AM87" s="117">
        <f t="shared" si="11"/>
        <v>-122265728</v>
      </c>
      <c r="AN87" s="20"/>
      <c r="AS87" s="96"/>
    </row>
    <row r="88" spans="4:52">
      <c r="D88" s="32" t="s">
        <v>316</v>
      </c>
      <c r="E88" s="1">
        <v>90000</v>
      </c>
      <c r="G88" s="47">
        <f>SUM(G76:G87)</f>
        <v>2645000</v>
      </c>
      <c r="H88" s="48" t="s">
        <v>6</v>
      </c>
      <c r="K88" s="96"/>
      <c r="M88" t="s">
        <v>4538</v>
      </c>
      <c r="W88" s="195"/>
      <c r="X88" s="195"/>
      <c r="Z88" s="115"/>
      <c r="AA88" s="115"/>
      <c r="AB88" s="115"/>
      <c r="AC88" s="128"/>
      <c r="AD88" s="115"/>
      <c r="AE88" s="115"/>
      <c r="AF88" s="115"/>
      <c r="AH88" s="20">
        <v>68</v>
      </c>
      <c r="AI88" s="117" t="s">
        <v>4442</v>
      </c>
      <c r="AJ88" s="117">
        <v>-907489</v>
      </c>
      <c r="AK88" s="20">
        <v>0</v>
      </c>
      <c r="AL88" s="99">
        <f>AL89+AK88</f>
        <v>205</v>
      </c>
      <c r="AM88" s="117">
        <f t="shared" si="11"/>
        <v>-186035245</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20"/>
        <v>205</v>
      </c>
      <c r="AM89" s="117">
        <f t="shared" si="11"/>
        <v>502250000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20"/>
        <v>204</v>
      </c>
      <c r="AM90" s="117">
        <f t="shared" si="11"/>
        <v>306000000</v>
      </c>
      <c r="AN90" s="20"/>
      <c r="AP90" t="s">
        <v>25</v>
      </c>
      <c r="AU90" s="96" t="s">
        <v>25</v>
      </c>
    </row>
    <row r="91" spans="4:52">
      <c r="D91" s="32" t="s">
        <v>318</v>
      </c>
      <c r="E91" s="1">
        <v>15000</v>
      </c>
      <c r="K91" s="96"/>
      <c r="Q91" s="35">
        <v>184971545</v>
      </c>
      <c r="R91" s="5" t="s">
        <v>4172</v>
      </c>
      <c r="S91" s="5">
        <v>275</v>
      </c>
      <c r="T91" s="5" t="s">
        <v>4345</v>
      </c>
      <c r="U91" s="168">
        <v>192</v>
      </c>
      <c r="V91" s="99">
        <f t="shared" ref="V91:V122" si="22">U91*(1+$R$87+$Q$15*S91/36500)</f>
        <v>235.42250958904111</v>
      </c>
      <c r="W91" s="32">
        <f t="shared" ref="W91:W109" si="23">V91*(1+$W$19/100)</f>
        <v>240.13095978082194</v>
      </c>
      <c r="X91" s="32">
        <f t="shared" ref="X91:X109" si="24">V91*(1+$X$19/100)</f>
        <v>244.83940997260277</v>
      </c>
      <c r="Z91" s="115"/>
      <c r="AA91" s="115"/>
      <c r="AE91"/>
      <c r="AG91" s="96"/>
      <c r="AH91" s="20">
        <v>71</v>
      </c>
      <c r="AI91" s="117" t="s">
        <v>4489</v>
      </c>
      <c r="AJ91" s="117">
        <v>2648000</v>
      </c>
      <c r="AK91" s="20">
        <v>1</v>
      </c>
      <c r="AL91" s="99">
        <f t="shared" si="20"/>
        <v>203</v>
      </c>
      <c r="AM91" s="117">
        <f t="shared" si="11"/>
        <v>537544000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 t="shared" si="22"/>
        <v>257.9942650958904</v>
      </c>
      <c r="W92" s="32">
        <f t="shared" si="23"/>
        <v>263.15415039780822</v>
      </c>
      <c r="X92" s="32">
        <f t="shared" si="24"/>
        <v>268.31403569972605</v>
      </c>
      <c r="Z92" s="115"/>
      <c r="AA92" s="115"/>
      <c r="AE92"/>
      <c r="AG92" s="96"/>
      <c r="AH92" s="20">
        <v>72</v>
      </c>
      <c r="AI92" s="117" t="s">
        <v>4231</v>
      </c>
      <c r="AJ92" s="117">
        <v>615000</v>
      </c>
      <c r="AK92" s="20">
        <v>4</v>
      </c>
      <c r="AL92" s="99">
        <f t="shared" si="20"/>
        <v>202</v>
      </c>
      <c r="AM92" s="117">
        <f t="shared" si="11"/>
        <v>124230000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 t="shared" si="22"/>
        <v>246.90673534246579</v>
      </c>
      <c r="W93" s="32">
        <f t="shared" si="23"/>
        <v>251.84487004931512</v>
      </c>
      <c r="X93" s="32">
        <f t="shared" si="24"/>
        <v>256.78300475616442</v>
      </c>
      <c r="Z93" s="115"/>
      <c r="AA93" s="115"/>
      <c r="AE93"/>
      <c r="AG93" s="96"/>
      <c r="AH93" s="20">
        <v>73</v>
      </c>
      <c r="AI93" s="117" t="s">
        <v>4500</v>
      </c>
      <c r="AJ93" s="117">
        <v>14000000</v>
      </c>
      <c r="AK93" s="20">
        <v>2</v>
      </c>
      <c r="AL93" s="99">
        <f>AL94+AK93</f>
        <v>198</v>
      </c>
      <c r="AM93" s="117">
        <f t="shared" si="11"/>
        <v>2772000000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 t="shared" si="22"/>
        <v>242.34939506849318</v>
      </c>
      <c r="W94" s="32">
        <f t="shared" si="23"/>
        <v>247.19638296986304</v>
      </c>
      <c r="X94" s="32">
        <f t="shared" si="24"/>
        <v>252.04337087123292</v>
      </c>
      <c r="Y94">
        <v>961521</v>
      </c>
      <c r="AH94" s="20">
        <v>74</v>
      </c>
      <c r="AI94" s="117" t="s">
        <v>4504</v>
      </c>
      <c r="AJ94" s="117">
        <v>1313000</v>
      </c>
      <c r="AK94" s="20">
        <v>0</v>
      </c>
      <c r="AL94" s="99">
        <f>AL95+AK94</f>
        <v>196</v>
      </c>
      <c r="AM94" s="117">
        <f t="shared" si="11"/>
        <v>257348000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 t="shared" si="22"/>
        <v>241.39853917808219</v>
      </c>
      <c r="W95" s="32">
        <f t="shared" si="23"/>
        <v>246.22650996164384</v>
      </c>
      <c r="X95" s="32">
        <f t="shared" si="24"/>
        <v>251.0544807452055</v>
      </c>
      <c r="Y95">
        <v>44349</v>
      </c>
      <c r="AH95" s="99">
        <v>75</v>
      </c>
      <c r="AI95" s="113" t="s">
        <v>4504</v>
      </c>
      <c r="AJ95" s="113">
        <v>2269000</v>
      </c>
      <c r="AK95" s="99">
        <v>1</v>
      </c>
      <c r="AL95" s="99">
        <f t="shared" ref="AL95:AL120" si="25">AL96+AK95</f>
        <v>196</v>
      </c>
      <c r="AM95" s="117">
        <f t="shared" si="11"/>
        <v>444724000</v>
      </c>
      <c r="AN95" s="99"/>
    </row>
    <row r="96" spans="4:52">
      <c r="D96" s="32" t="s">
        <v>314</v>
      </c>
      <c r="E96" s="1">
        <v>140000</v>
      </c>
      <c r="F96" s="96"/>
      <c r="G96" s="96"/>
      <c r="H96" s="96"/>
      <c r="I96" s="96"/>
      <c r="J96" s="96"/>
      <c r="K96" s="96"/>
      <c r="L96" s="96"/>
      <c r="M96" s="96"/>
      <c r="N96" s="96"/>
      <c r="P96" s="115"/>
      <c r="Q96" s="35">
        <v>2010885</v>
      </c>
      <c r="R96" s="5" t="s">
        <v>4391</v>
      </c>
      <c r="S96" s="5">
        <f>S95-3</f>
        <v>223</v>
      </c>
      <c r="T96" s="5" t="s">
        <v>4397</v>
      </c>
      <c r="U96" s="168">
        <v>202.1</v>
      </c>
      <c r="V96" s="99">
        <f t="shared" si="22"/>
        <v>239.74486246575344</v>
      </c>
      <c r="W96" s="32">
        <f t="shared" si="23"/>
        <v>244.53975971506853</v>
      </c>
      <c r="X96" s="32">
        <f t="shared" si="24"/>
        <v>249.33465696438358</v>
      </c>
      <c r="Y96">
        <v>9625</v>
      </c>
      <c r="AH96" s="99">
        <v>76</v>
      </c>
      <c r="AI96" s="113" t="s">
        <v>4232</v>
      </c>
      <c r="AJ96" s="113">
        <v>750000</v>
      </c>
      <c r="AK96" s="99">
        <v>4</v>
      </c>
      <c r="AL96" s="99">
        <f t="shared" si="25"/>
        <v>195</v>
      </c>
      <c r="AM96" s="117">
        <f t="shared" si="11"/>
        <v>146250000</v>
      </c>
      <c r="AN96" s="99"/>
      <c r="AQ96" t="s">
        <v>25</v>
      </c>
    </row>
    <row r="97" spans="4:47">
      <c r="D97" s="2" t="s">
        <v>478</v>
      </c>
      <c r="E97" s="3">
        <v>1083333</v>
      </c>
      <c r="F97" s="96"/>
      <c r="G97" s="96"/>
      <c r="H97" s="96"/>
      <c r="I97" s="96"/>
      <c r="J97" s="96"/>
      <c r="K97" s="96"/>
      <c r="L97" s="96"/>
      <c r="M97" s="96"/>
      <c r="N97" s="96"/>
      <c r="Q97" s="35">
        <v>1994038</v>
      </c>
      <c r="R97" s="5" t="s">
        <v>4402</v>
      </c>
      <c r="S97" s="5">
        <f>S96-3</f>
        <v>220</v>
      </c>
      <c r="T97" s="5" t="s">
        <v>4418</v>
      </c>
      <c r="U97" s="168">
        <v>5560.3</v>
      </c>
      <c r="V97" s="99">
        <f t="shared" si="22"/>
        <v>6583.2123956164396</v>
      </c>
      <c r="W97" s="32">
        <f t="shared" si="23"/>
        <v>6714.8766435287689</v>
      </c>
      <c r="X97" s="32">
        <f t="shared" si="24"/>
        <v>6846.5408914410973</v>
      </c>
      <c r="Y97">
        <v>6980</v>
      </c>
      <c r="AH97" s="99">
        <v>77</v>
      </c>
      <c r="AI97" s="113" t="s">
        <v>4511</v>
      </c>
      <c r="AJ97" s="113">
        <v>1900000</v>
      </c>
      <c r="AK97" s="99">
        <v>3</v>
      </c>
      <c r="AL97" s="99">
        <f t="shared" si="25"/>
        <v>191</v>
      </c>
      <c r="AM97" s="117">
        <f t="shared" si="11"/>
        <v>362900000</v>
      </c>
      <c r="AN97" s="99"/>
    </row>
    <row r="98" spans="4:47">
      <c r="D98" s="2"/>
      <c r="E98" s="3"/>
      <c r="K98" s="96"/>
      <c r="L98" s="96"/>
      <c r="M98" s="96"/>
      <c r="N98" s="96"/>
      <c r="Q98" s="35">
        <v>444</v>
      </c>
      <c r="R98" s="5" t="s">
        <v>4402</v>
      </c>
      <c r="S98" s="5">
        <f>S97</f>
        <v>220</v>
      </c>
      <c r="T98" s="5" t="s">
        <v>4607</v>
      </c>
      <c r="U98" s="168">
        <v>441.8</v>
      </c>
      <c r="V98" s="99">
        <f t="shared" si="22"/>
        <v>523.07667506849327</v>
      </c>
      <c r="W98" s="32">
        <f t="shared" si="23"/>
        <v>533.53820856986317</v>
      </c>
      <c r="X98" s="32">
        <f t="shared" si="24"/>
        <v>543.99974207123307</v>
      </c>
      <c r="Y98">
        <v>6963</v>
      </c>
      <c r="AH98" s="99">
        <v>78</v>
      </c>
      <c r="AI98" s="113" t="s">
        <v>4524</v>
      </c>
      <c r="AJ98" s="113">
        <v>6400000</v>
      </c>
      <c r="AK98" s="99">
        <v>1</v>
      </c>
      <c r="AL98" s="99">
        <f t="shared" si="25"/>
        <v>188</v>
      </c>
      <c r="AM98" s="117">
        <f t="shared" si="11"/>
        <v>1203200000</v>
      </c>
      <c r="AN98" s="99"/>
      <c r="AT98" s="96" t="s">
        <v>25</v>
      </c>
    </row>
    <row r="99" spans="4:47">
      <c r="D99" s="2"/>
      <c r="E99" s="3"/>
      <c r="F99" s="96"/>
      <c r="G99" s="96"/>
      <c r="H99" s="96"/>
      <c r="I99" s="96"/>
      <c r="J99" s="96" t="s">
        <v>25</v>
      </c>
      <c r="K99" t="s">
        <v>25</v>
      </c>
      <c r="L99" s="96"/>
      <c r="M99" s="96"/>
      <c r="N99" s="96"/>
      <c r="Q99" s="35">
        <v>1971103</v>
      </c>
      <c r="R99" s="5" t="s">
        <v>4413</v>
      </c>
      <c r="S99" s="5">
        <f>S98-1</f>
        <v>219</v>
      </c>
      <c r="T99" s="5" t="s">
        <v>4414</v>
      </c>
      <c r="U99" s="168">
        <v>196.2</v>
      </c>
      <c r="V99" s="99">
        <f t="shared" si="22"/>
        <v>232.14383999999998</v>
      </c>
      <c r="W99" s="32">
        <f t="shared" si="23"/>
        <v>236.78671679999999</v>
      </c>
      <c r="X99" s="32">
        <f t="shared" si="24"/>
        <v>241.4295936</v>
      </c>
      <c r="Y99" s="96">
        <v>0</v>
      </c>
      <c r="AH99" s="99">
        <v>79</v>
      </c>
      <c r="AI99" s="113" t="s">
        <v>4522</v>
      </c>
      <c r="AJ99" s="113">
        <v>5000</v>
      </c>
      <c r="AK99" s="99">
        <v>5</v>
      </c>
      <c r="AL99" s="99">
        <f t="shared" si="25"/>
        <v>187</v>
      </c>
      <c r="AM99" s="117">
        <f t="shared" si="11"/>
        <v>935000</v>
      </c>
      <c r="AN99" s="99"/>
      <c r="AP99" t="s">
        <v>25</v>
      </c>
    </row>
    <row r="100" spans="4:47">
      <c r="D100" s="2" t="s">
        <v>6</v>
      </c>
      <c r="E100" s="3">
        <f>SUM(E77:E98)</f>
        <v>3383333</v>
      </c>
      <c r="Q100" s="35">
        <v>1049856</v>
      </c>
      <c r="R100" s="5" t="s">
        <v>4436</v>
      </c>
      <c r="S100" s="5">
        <f>S99-6</f>
        <v>213</v>
      </c>
      <c r="T100" s="5" t="s">
        <v>4475</v>
      </c>
      <c r="U100" s="168">
        <v>184.5</v>
      </c>
      <c r="V100" s="99">
        <f t="shared" si="22"/>
        <v>217.45119452054797</v>
      </c>
      <c r="W100" s="32">
        <f t="shared" si="23"/>
        <v>221.80021841095893</v>
      </c>
      <c r="X100" s="32">
        <f t="shared" si="24"/>
        <v>226.1492423013699</v>
      </c>
      <c r="Y100" s="96">
        <v>9904</v>
      </c>
      <c r="AH100" s="99">
        <v>80</v>
      </c>
      <c r="AI100" s="113" t="s">
        <v>4554</v>
      </c>
      <c r="AJ100" s="113">
        <v>-1750148</v>
      </c>
      <c r="AK100" s="99">
        <v>1</v>
      </c>
      <c r="AL100" s="99">
        <f t="shared" si="25"/>
        <v>182</v>
      </c>
      <c r="AM100" s="117">
        <f t="shared" si="11"/>
        <v>-318526936</v>
      </c>
      <c r="AN100" s="99"/>
    </row>
    <row r="101" spans="4:47">
      <c r="D101" s="2" t="s">
        <v>328</v>
      </c>
      <c r="E101" s="3">
        <f>E100/30</f>
        <v>112777.76666666666</v>
      </c>
      <c r="Q101" s="35">
        <v>1783234</v>
      </c>
      <c r="R101" s="5" t="s">
        <v>4438</v>
      </c>
      <c r="S101" s="5">
        <f>S100-2</f>
        <v>211</v>
      </c>
      <c r="T101" s="5" t="s">
        <v>4439</v>
      </c>
      <c r="U101" s="168">
        <v>177.5</v>
      </c>
      <c r="V101" s="99">
        <f t="shared" si="22"/>
        <v>208.92868493150687</v>
      </c>
      <c r="W101" s="32">
        <f t="shared" si="23"/>
        <v>213.10725863013701</v>
      </c>
      <c r="X101" s="32">
        <f t="shared" si="24"/>
        <v>217.28583232876716</v>
      </c>
      <c r="Y101" s="96">
        <v>0</v>
      </c>
      <c r="AH101" s="99">
        <v>81</v>
      </c>
      <c r="AI101" s="113" t="s">
        <v>4557</v>
      </c>
      <c r="AJ101" s="113">
        <v>400000</v>
      </c>
      <c r="AK101" s="99">
        <v>0</v>
      </c>
      <c r="AL101" s="99">
        <f t="shared" si="25"/>
        <v>181</v>
      </c>
      <c r="AM101" s="117">
        <f t="shared" si="11"/>
        <v>72400000</v>
      </c>
      <c r="AN101" s="99"/>
    </row>
    <row r="102" spans="4:47">
      <c r="F102" s="214" t="s">
        <v>4693</v>
      </c>
      <c r="G102" s="214" t="s">
        <v>941</v>
      </c>
      <c r="H102" s="214" t="s">
        <v>4680</v>
      </c>
      <c r="I102" s="214" t="s">
        <v>4679</v>
      </c>
      <c r="J102" s="32" t="s">
        <v>4539</v>
      </c>
      <c r="K102" s="214" t="s">
        <v>4672</v>
      </c>
      <c r="L102" s="32" t="s">
        <v>4674</v>
      </c>
      <c r="M102" s="32" t="s">
        <v>4647</v>
      </c>
      <c r="N102" s="214" t="s">
        <v>4648</v>
      </c>
      <c r="Q102" s="35">
        <v>1662335</v>
      </c>
      <c r="R102" s="5" t="s">
        <v>4442</v>
      </c>
      <c r="S102" s="5">
        <f>S101-5</f>
        <v>206</v>
      </c>
      <c r="T102" s="219" t="s">
        <v>4590</v>
      </c>
      <c r="U102" s="168">
        <v>190.3</v>
      </c>
      <c r="V102" s="99">
        <f t="shared" si="22"/>
        <v>223.26517369863015</v>
      </c>
      <c r="W102" s="32">
        <f t="shared" si="23"/>
        <v>227.73047717260275</v>
      </c>
      <c r="X102" s="32">
        <f t="shared" si="24"/>
        <v>232.19578064657537</v>
      </c>
      <c r="Y102" s="96">
        <v>0</v>
      </c>
      <c r="AH102" s="99">
        <v>82</v>
      </c>
      <c r="AI102" s="113" t="s">
        <v>4557</v>
      </c>
      <c r="AJ102" s="113">
        <v>-2105421</v>
      </c>
      <c r="AK102" s="99">
        <v>1</v>
      </c>
      <c r="AL102" s="99">
        <f t="shared" si="25"/>
        <v>181</v>
      </c>
      <c r="AM102" s="117">
        <f t="shared" si="11"/>
        <v>-381081201</v>
      </c>
      <c r="AN102" s="99"/>
      <c r="AO102" t="s">
        <v>25</v>
      </c>
    </row>
    <row r="103" spans="4:47">
      <c r="F103" s="200">
        <f>$L$111/G103</f>
        <v>21138.211382113819</v>
      </c>
      <c r="G103" s="200">
        <f>P49</f>
        <v>221.4</v>
      </c>
      <c r="H103" s="200" t="s">
        <v>4793</v>
      </c>
      <c r="I103" s="200" t="s">
        <v>4792</v>
      </c>
      <c r="J103" s="215" t="s">
        <v>4242</v>
      </c>
      <c r="K103" s="200">
        <v>127</v>
      </c>
      <c r="L103" s="216">
        <f t="shared" ref="L103:L108" si="26">K103*$L$111</f>
        <v>594360000</v>
      </c>
      <c r="M103" s="216">
        <f>N21+N31+N49</f>
        <v>973356982.20000005</v>
      </c>
      <c r="N103" s="184">
        <f t="shared" ref="N103:N107" si="27">L103-M103</f>
        <v>-378996982.20000005</v>
      </c>
      <c r="Q103" s="35">
        <v>2272487</v>
      </c>
      <c r="R103" s="5" t="s">
        <v>4600</v>
      </c>
      <c r="S103" s="5">
        <f>S102-42</f>
        <v>164</v>
      </c>
      <c r="T103" s="5" t="s">
        <v>4601</v>
      </c>
      <c r="U103" s="168">
        <v>174.9</v>
      </c>
      <c r="V103" s="99">
        <f t="shared" si="22"/>
        <v>199.56233753424661</v>
      </c>
      <c r="W103" s="32">
        <f t="shared" si="23"/>
        <v>203.55358428493153</v>
      </c>
      <c r="X103" s="32">
        <f t="shared" si="24"/>
        <v>207.54483103561648</v>
      </c>
      <c r="Y103" s="96">
        <v>10000</v>
      </c>
      <c r="AH103" s="99">
        <v>83</v>
      </c>
      <c r="AI103" s="113" t="s">
        <v>4560</v>
      </c>
      <c r="AJ103" s="113">
        <v>-5527618</v>
      </c>
      <c r="AK103" s="99">
        <v>0</v>
      </c>
      <c r="AL103" s="99">
        <f t="shared" si="25"/>
        <v>180</v>
      </c>
      <c r="AM103" s="117">
        <f t="shared" si="11"/>
        <v>-994971240</v>
      </c>
      <c r="AN103" s="99"/>
    </row>
    <row r="104" spans="4:47">
      <c r="F104" s="214">
        <f>$L$111/G104</f>
        <v>893.01047569981108</v>
      </c>
      <c r="G104" s="214">
        <f>P46</f>
        <v>5240.7</v>
      </c>
      <c r="H104" s="214" t="s">
        <v>4981</v>
      </c>
      <c r="I104" s="214" t="s">
        <v>4982</v>
      </c>
      <c r="J104" s="32" t="s">
        <v>4393</v>
      </c>
      <c r="K104" s="214">
        <v>44</v>
      </c>
      <c r="L104" s="1">
        <f t="shared" si="26"/>
        <v>205920000</v>
      </c>
      <c r="M104" s="1">
        <f>N25+N46+N28</f>
        <v>149475245.40000001</v>
      </c>
      <c r="N104" s="113">
        <f t="shared" si="27"/>
        <v>56444754.599999994</v>
      </c>
      <c r="Q104" s="35">
        <v>3975257</v>
      </c>
      <c r="R104" s="5" t="s">
        <v>4605</v>
      </c>
      <c r="S104" s="5">
        <f>S103-1</f>
        <v>163</v>
      </c>
      <c r="T104" s="5" t="s">
        <v>4606</v>
      </c>
      <c r="U104" s="168">
        <v>173</v>
      </c>
      <c r="V104" s="99">
        <f t="shared" si="22"/>
        <v>197.26170958904112</v>
      </c>
      <c r="W104" s="32">
        <f t="shared" si="23"/>
        <v>201.20694378082194</v>
      </c>
      <c r="X104" s="32">
        <f t="shared" si="24"/>
        <v>205.15217797260277</v>
      </c>
      <c r="Y104" s="96">
        <v>5664</v>
      </c>
      <c r="AH104" s="99">
        <v>84</v>
      </c>
      <c r="AI104" s="113" t="s">
        <v>4560</v>
      </c>
      <c r="AJ104" s="113">
        <v>3900000</v>
      </c>
      <c r="AK104" s="99">
        <v>3</v>
      </c>
      <c r="AL104" s="99">
        <f t="shared" si="25"/>
        <v>180</v>
      </c>
      <c r="AM104" s="117">
        <f t="shared" si="11"/>
        <v>702000000</v>
      </c>
      <c r="AN104" s="99"/>
    </row>
    <row r="105" spans="4:47">
      <c r="F105" s="200">
        <v>0</v>
      </c>
      <c r="G105" s="200">
        <v>0</v>
      </c>
      <c r="H105" s="200" t="s">
        <v>3881</v>
      </c>
      <c r="I105" s="200" t="s">
        <v>4683</v>
      </c>
      <c r="J105" s="215" t="s">
        <v>4389</v>
      </c>
      <c r="K105" s="200">
        <v>0</v>
      </c>
      <c r="L105" s="216">
        <f t="shared" si="26"/>
        <v>0</v>
      </c>
      <c r="M105" s="216">
        <f>0</f>
        <v>0</v>
      </c>
      <c r="N105" s="184">
        <f t="shared" si="27"/>
        <v>0</v>
      </c>
      <c r="Q105" s="35">
        <v>1031662</v>
      </c>
      <c r="R105" s="5" t="s">
        <v>4233</v>
      </c>
      <c r="S105" s="5">
        <f>S104-1</f>
        <v>162</v>
      </c>
      <c r="T105" s="5" t="s">
        <v>4609</v>
      </c>
      <c r="U105" s="168">
        <v>171.2</v>
      </c>
      <c r="V105" s="99">
        <f t="shared" si="22"/>
        <v>195.07794410958905</v>
      </c>
      <c r="W105" s="32">
        <f t="shared" si="23"/>
        <v>198.97950299178083</v>
      </c>
      <c r="X105" s="32">
        <f t="shared" si="24"/>
        <v>202.88106187397261</v>
      </c>
      <c r="Y105" s="96">
        <v>10000</v>
      </c>
      <c r="AH105" s="99">
        <v>85</v>
      </c>
      <c r="AI105" s="113" t="s">
        <v>4561</v>
      </c>
      <c r="AJ105" s="113">
        <v>-3969754</v>
      </c>
      <c r="AK105" s="99">
        <v>1</v>
      </c>
      <c r="AL105" s="99">
        <f t="shared" si="25"/>
        <v>177</v>
      </c>
      <c r="AM105" s="117">
        <f t="shared" si="11"/>
        <v>-702646458</v>
      </c>
      <c r="AN105" s="99"/>
    </row>
    <row r="106" spans="4:47">
      <c r="F106" s="214">
        <f>$L$111/G106</f>
        <v>5344.9063499314752</v>
      </c>
      <c r="G106" s="214">
        <f>P48</f>
        <v>875.6</v>
      </c>
      <c r="H106" s="214" t="s">
        <v>4682</v>
      </c>
      <c r="I106" s="214" t="s">
        <v>4681</v>
      </c>
      <c r="J106" s="32" t="s">
        <v>4408</v>
      </c>
      <c r="K106" s="214">
        <v>44</v>
      </c>
      <c r="L106" s="1">
        <f t="shared" si="26"/>
        <v>205920000</v>
      </c>
      <c r="M106" s="1">
        <f>N48+N23</f>
        <v>235975075.59999999</v>
      </c>
      <c r="N106" s="113">
        <f t="shared" si="27"/>
        <v>-30055075.599999994</v>
      </c>
      <c r="Q106" s="35">
        <v>577500</v>
      </c>
      <c r="R106" s="5" t="s">
        <v>4233</v>
      </c>
      <c r="S106" s="5">
        <f>S105</f>
        <v>162</v>
      </c>
      <c r="T106" s="5" t="s">
        <v>4613</v>
      </c>
      <c r="U106" s="168">
        <v>175</v>
      </c>
      <c r="V106" s="99">
        <f t="shared" si="22"/>
        <v>199.40794520547948</v>
      </c>
      <c r="W106" s="32">
        <f t="shared" si="23"/>
        <v>203.39610410958906</v>
      </c>
      <c r="X106" s="32">
        <f t="shared" si="24"/>
        <v>207.38426301369867</v>
      </c>
      <c r="Y106" s="96">
        <v>8695</v>
      </c>
      <c r="AH106" s="99">
        <v>86</v>
      </c>
      <c r="AI106" s="113" t="s">
        <v>4572</v>
      </c>
      <c r="AJ106" s="113">
        <v>-25574455</v>
      </c>
      <c r="AK106" s="99">
        <v>0</v>
      </c>
      <c r="AL106" s="99">
        <f t="shared" si="25"/>
        <v>176</v>
      </c>
      <c r="AM106" s="117">
        <f t="shared" si="11"/>
        <v>-4501104080</v>
      </c>
      <c r="AN106" s="99"/>
      <c r="AP106" t="s">
        <v>25</v>
      </c>
    </row>
    <row r="107" spans="4:47">
      <c r="F107" s="200"/>
      <c r="G107" s="200"/>
      <c r="H107" s="200"/>
      <c r="I107" s="200"/>
      <c r="J107" s="215" t="s">
        <v>4658</v>
      </c>
      <c r="K107" s="200">
        <v>1</v>
      </c>
      <c r="L107" s="216">
        <f t="shared" si="26"/>
        <v>4680000</v>
      </c>
      <c r="M107" s="216">
        <f>N44</f>
        <v>73155</v>
      </c>
      <c r="N107" s="184">
        <f t="shared" si="27"/>
        <v>4606845</v>
      </c>
      <c r="Q107" s="35">
        <v>12636487</v>
      </c>
      <c r="R107" s="5" t="s">
        <v>3691</v>
      </c>
      <c r="S107" s="5">
        <f>S106-2</f>
        <v>160</v>
      </c>
      <c r="T107" s="5" t="s">
        <v>4616</v>
      </c>
      <c r="U107" s="168">
        <v>172.1</v>
      </c>
      <c r="V107" s="99">
        <f t="shared" si="22"/>
        <v>195.83942684931509</v>
      </c>
      <c r="W107" s="32">
        <f t="shared" si="23"/>
        <v>199.75621538630139</v>
      </c>
      <c r="X107" s="32">
        <f t="shared" si="24"/>
        <v>203.67300392328769</v>
      </c>
      <c r="Y107" s="96"/>
      <c r="AH107" s="99">
        <v>87</v>
      </c>
      <c r="AI107" s="113" t="s">
        <v>4572</v>
      </c>
      <c r="AJ107" s="113">
        <v>4000000</v>
      </c>
      <c r="AK107" s="99">
        <v>1</v>
      </c>
      <c r="AL107" s="99">
        <f t="shared" si="25"/>
        <v>176</v>
      </c>
      <c r="AM107" s="117">
        <f t="shared" si="11"/>
        <v>704000000</v>
      </c>
      <c r="AN107" s="99"/>
    </row>
    <row r="108" spans="4:47">
      <c r="F108" s="192"/>
      <c r="G108" s="192"/>
      <c r="H108" s="192"/>
      <c r="I108" s="192"/>
      <c r="J108" s="259" t="s">
        <v>5087</v>
      </c>
      <c r="K108" s="192">
        <v>41</v>
      </c>
      <c r="L108" s="260">
        <f t="shared" si="26"/>
        <v>191880000</v>
      </c>
      <c r="M108" s="260">
        <v>0</v>
      </c>
      <c r="N108" s="86">
        <f>L108-M108</f>
        <v>191880000</v>
      </c>
      <c r="Q108" s="169">
        <v>60508</v>
      </c>
      <c r="R108" s="168" t="s">
        <v>4619</v>
      </c>
      <c r="S108" s="168">
        <f>S107-3</f>
        <v>157</v>
      </c>
      <c r="T108" s="168" t="s">
        <v>4902</v>
      </c>
      <c r="U108" s="168">
        <v>1204.7</v>
      </c>
      <c r="V108" s="99">
        <f t="shared" si="22"/>
        <v>1368.103527671233</v>
      </c>
      <c r="W108" s="32">
        <f t="shared" si="23"/>
        <v>1395.4655982246577</v>
      </c>
      <c r="X108" s="32">
        <f t="shared" si="24"/>
        <v>1422.8276687780824</v>
      </c>
      <c r="Y108" s="96"/>
      <c r="AH108" s="99">
        <v>88</v>
      </c>
      <c r="AI108" s="113" t="s">
        <v>994</v>
      </c>
      <c r="AJ108" s="113">
        <v>-5000000</v>
      </c>
      <c r="AK108" s="99">
        <v>2</v>
      </c>
      <c r="AL108" s="99">
        <f t="shared" si="25"/>
        <v>175</v>
      </c>
      <c r="AM108" s="117">
        <f t="shared" si="11"/>
        <v>-875000000</v>
      </c>
      <c r="AN108" s="99"/>
    </row>
    <row r="109" spans="4:47">
      <c r="F109" s="214"/>
      <c r="G109" s="214"/>
      <c r="H109" s="214"/>
      <c r="I109" s="214"/>
      <c r="J109" s="32" t="s">
        <v>4767</v>
      </c>
      <c r="K109" s="214"/>
      <c r="L109" s="1"/>
      <c r="M109" s="1"/>
      <c r="N109" s="113">
        <v>70000000</v>
      </c>
      <c r="O109" t="s">
        <v>25</v>
      </c>
      <c r="Q109" s="39">
        <v>11121445</v>
      </c>
      <c r="R109" s="5" t="s">
        <v>4619</v>
      </c>
      <c r="S109" s="5">
        <f>S108</f>
        <v>157</v>
      </c>
      <c r="T109" s="5" t="s">
        <v>4805</v>
      </c>
      <c r="U109" s="168">
        <v>171.8</v>
      </c>
      <c r="V109" s="99">
        <f t="shared" si="22"/>
        <v>195.10266958904114</v>
      </c>
      <c r="W109" s="32">
        <f t="shared" si="23"/>
        <v>199.00472298082198</v>
      </c>
      <c r="X109" s="32">
        <f t="shared" si="24"/>
        <v>202.90677637260279</v>
      </c>
      <c r="Y109" s="96"/>
      <c r="AD109" s="96"/>
      <c r="AE109"/>
      <c r="AF109"/>
      <c r="AH109" s="99">
        <v>89</v>
      </c>
      <c r="AI109" s="113" t="s">
        <v>4577</v>
      </c>
      <c r="AJ109" s="113">
        <v>10000000</v>
      </c>
      <c r="AK109" s="99">
        <v>4</v>
      </c>
      <c r="AL109" s="99">
        <f t="shared" si="25"/>
        <v>173</v>
      </c>
      <c r="AM109" s="117">
        <f t="shared" si="11"/>
        <v>1730000000</v>
      </c>
      <c r="AN109" s="99"/>
    </row>
    <row r="110" spans="4:47">
      <c r="F110" s="200"/>
      <c r="G110" s="200"/>
      <c r="H110" s="200"/>
      <c r="I110" s="200"/>
      <c r="J110" s="215" t="s">
        <v>4881</v>
      </c>
      <c r="K110" s="200">
        <f>SUM(K103:K108)</f>
        <v>257</v>
      </c>
      <c r="L110" s="216"/>
      <c r="M110" s="216"/>
      <c r="N110" s="184"/>
      <c r="Q110" s="35">
        <v>12656982</v>
      </c>
      <c r="R110" s="5" t="s">
        <v>4628</v>
      </c>
      <c r="S110" s="5">
        <f>S109-2</f>
        <v>155</v>
      </c>
      <c r="T110" s="5" t="s">
        <v>4629</v>
      </c>
      <c r="U110" s="168">
        <v>5249.9</v>
      </c>
      <c r="V110" s="99">
        <f t="shared" si="22"/>
        <v>5953.9331649315072</v>
      </c>
      <c r="W110" s="32">
        <f t="shared" ref="W110:W141" si="28">V110*(1+$W$19/100)</f>
        <v>6073.0118282301373</v>
      </c>
      <c r="X110" s="32">
        <f t="shared" ref="X110:X141" si="29">V110*(1+$X$19/100)</f>
        <v>6192.0904915287674</v>
      </c>
      <c r="AH110" s="99">
        <v>90</v>
      </c>
      <c r="AI110" s="113" t="s">
        <v>4579</v>
      </c>
      <c r="AJ110" s="113">
        <v>-5241937</v>
      </c>
      <c r="AK110" s="99">
        <v>0</v>
      </c>
      <c r="AL110" s="99">
        <f t="shared" si="25"/>
        <v>169</v>
      </c>
      <c r="AM110" s="117">
        <f t="shared" si="11"/>
        <v>-885887353</v>
      </c>
      <c r="AN110" s="99"/>
    </row>
    <row r="111" spans="4:47">
      <c r="F111" s="214"/>
      <c r="G111" s="214"/>
      <c r="H111" s="214" t="s">
        <v>25</v>
      </c>
      <c r="I111" s="214"/>
      <c r="J111" s="32"/>
      <c r="K111" s="214">
        <v>3</v>
      </c>
      <c r="L111" s="39">
        <f>10*P50</f>
        <v>4680000</v>
      </c>
      <c r="M111" s="1">
        <f>K111*L111</f>
        <v>14040000</v>
      </c>
      <c r="N111" s="113">
        <f>SUM(N103:N109)-M111</f>
        <v>-100160458.20000005</v>
      </c>
      <c r="P111" s="114"/>
      <c r="Q111" s="35">
        <v>48637534</v>
      </c>
      <c r="R111" s="5" t="s">
        <v>4630</v>
      </c>
      <c r="S111" s="5">
        <f>S110-1</f>
        <v>154</v>
      </c>
      <c r="T111" s="5" t="s">
        <v>4634</v>
      </c>
      <c r="U111" s="168">
        <v>5330</v>
      </c>
      <c r="V111" s="99">
        <f t="shared" si="22"/>
        <v>6040.6861369863027</v>
      </c>
      <c r="W111" s="32">
        <f t="shared" si="28"/>
        <v>6161.4998597260292</v>
      </c>
      <c r="X111" s="32">
        <f t="shared" si="29"/>
        <v>6282.3135824657547</v>
      </c>
      <c r="AH111" s="99">
        <v>91</v>
      </c>
      <c r="AI111" s="113" t="s">
        <v>4579</v>
      </c>
      <c r="AJ111" s="113">
        <v>21900000</v>
      </c>
      <c r="AK111" s="99">
        <v>2</v>
      </c>
      <c r="AL111" s="99">
        <f t="shared" si="25"/>
        <v>169</v>
      </c>
      <c r="AM111" s="117">
        <f t="shared" si="11"/>
        <v>3701100000</v>
      </c>
      <c r="AN111" s="99"/>
      <c r="AP111" t="s">
        <v>25</v>
      </c>
      <c r="AU111"/>
    </row>
    <row r="112" spans="4:47">
      <c r="F112" s="200"/>
      <c r="G112" s="200"/>
      <c r="H112" s="200"/>
      <c r="I112" s="200"/>
      <c r="J112" s="215"/>
      <c r="K112" s="246" t="s">
        <v>4899</v>
      </c>
      <c r="L112" s="216" t="s">
        <v>4252</v>
      </c>
      <c r="M112" s="216" t="s">
        <v>4666</v>
      </c>
      <c r="N112" s="184" t="s">
        <v>4667</v>
      </c>
      <c r="Q112" s="35">
        <v>40048573</v>
      </c>
      <c r="R112" s="5" t="s">
        <v>4630</v>
      </c>
      <c r="S112" s="5">
        <f>S111</f>
        <v>154</v>
      </c>
      <c r="T112" s="5" t="s">
        <v>4635</v>
      </c>
      <c r="U112" s="168">
        <v>498.9</v>
      </c>
      <c r="V112" s="99">
        <f t="shared" si="22"/>
        <v>565.42182246575351</v>
      </c>
      <c r="W112" s="32">
        <f t="shared" si="28"/>
        <v>576.73025891506859</v>
      </c>
      <c r="X112" s="32">
        <f t="shared" si="29"/>
        <v>588.03869536438367</v>
      </c>
      <c r="Y112">
        <v>13000</v>
      </c>
      <c r="AH112" s="99">
        <v>92</v>
      </c>
      <c r="AI112" s="113" t="s">
        <v>4587</v>
      </c>
      <c r="AJ112" s="113">
        <v>-15000000</v>
      </c>
      <c r="AK112" s="99">
        <v>0</v>
      </c>
      <c r="AL112" s="99">
        <f t="shared" si="25"/>
        <v>167</v>
      </c>
      <c r="AM112" s="117">
        <f t="shared" si="11"/>
        <v>-2505000000</v>
      </c>
      <c r="AN112" s="99"/>
      <c r="AO112" t="s">
        <v>25</v>
      </c>
    </row>
    <row r="113" spans="6:46">
      <c r="F113" s="214"/>
      <c r="G113" s="214"/>
      <c r="H113" s="214"/>
      <c r="I113" s="214"/>
      <c r="J113" s="32" t="s">
        <v>4673</v>
      </c>
      <c r="K113" s="214"/>
      <c r="L113" s="1"/>
      <c r="M113" s="1"/>
      <c r="N113" s="113"/>
      <c r="Q113" s="35">
        <v>35202344</v>
      </c>
      <c r="R113" s="5" t="s">
        <v>4645</v>
      </c>
      <c r="S113" s="5">
        <f>S112-1</f>
        <v>153</v>
      </c>
      <c r="T113" s="5" t="s">
        <v>5109</v>
      </c>
      <c r="U113" s="168">
        <v>5393.6</v>
      </c>
      <c r="V113" s="99">
        <f t="shared" si="22"/>
        <v>6108.6288131506853</v>
      </c>
      <c r="W113" s="32">
        <f t="shared" si="28"/>
        <v>6230.8013894136993</v>
      </c>
      <c r="X113" s="32">
        <f t="shared" si="29"/>
        <v>6352.9739656767133</v>
      </c>
      <c r="Y113" t="s">
        <v>25</v>
      </c>
      <c r="AH113" s="99">
        <v>93</v>
      </c>
      <c r="AI113" s="113" t="s">
        <v>4587</v>
      </c>
      <c r="AJ113" s="113">
        <v>3000000</v>
      </c>
      <c r="AK113" s="99">
        <v>1</v>
      </c>
      <c r="AL113" s="99">
        <f t="shared" si="25"/>
        <v>167</v>
      </c>
      <c r="AM113" s="117">
        <f t="shared" si="11"/>
        <v>501000000</v>
      </c>
      <c r="AN113" s="99"/>
    </row>
    <row r="114" spans="6:46">
      <c r="M114" t="s">
        <v>25</v>
      </c>
      <c r="Q114" s="35">
        <v>559461</v>
      </c>
      <c r="R114" s="5" t="s">
        <v>4670</v>
      </c>
      <c r="S114" s="5">
        <f>S113-6</f>
        <v>147</v>
      </c>
      <c r="T114" s="5" t="s">
        <v>4677</v>
      </c>
      <c r="U114" s="211">
        <v>508.1</v>
      </c>
      <c r="V114" s="99">
        <f t="shared" si="22"/>
        <v>573.12009534246579</v>
      </c>
      <c r="W114" s="32">
        <f t="shared" si="28"/>
        <v>584.58249724931511</v>
      </c>
      <c r="X114" s="32">
        <f t="shared" si="29"/>
        <v>596.04489915616443</v>
      </c>
      <c r="Y114" t="s">
        <v>25</v>
      </c>
      <c r="AH114" s="99">
        <v>94</v>
      </c>
      <c r="AI114" s="113" t="s">
        <v>4591</v>
      </c>
      <c r="AJ114" s="113">
        <v>-2103736</v>
      </c>
      <c r="AK114" s="99">
        <v>0</v>
      </c>
      <c r="AL114" s="99">
        <f t="shared" si="25"/>
        <v>166</v>
      </c>
      <c r="AM114" s="117">
        <f t="shared" si="11"/>
        <v>-349220176</v>
      </c>
      <c r="AN114" s="99"/>
    </row>
    <row r="115" spans="6:46">
      <c r="P115" s="114"/>
      <c r="Q115" s="35">
        <v>622942</v>
      </c>
      <c r="R115" s="5" t="s">
        <v>4684</v>
      </c>
      <c r="S115" s="5">
        <f>S114-1</f>
        <v>146</v>
      </c>
      <c r="T115" s="5" t="s">
        <v>4685</v>
      </c>
      <c r="U115" s="211">
        <v>503.3</v>
      </c>
      <c r="V115" s="99">
        <f t="shared" si="22"/>
        <v>567.31976000000009</v>
      </c>
      <c r="W115" s="32">
        <f t="shared" si="28"/>
        <v>578.66615520000005</v>
      </c>
      <c r="X115" s="32">
        <f t="shared" si="29"/>
        <v>590.01255040000012</v>
      </c>
      <c r="AH115" s="99">
        <v>95</v>
      </c>
      <c r="AI115" s="113" t="s">
        <v>4591</v>
      </c>
      <c r="AJ115" s="113">
        <v>220000</v>
      </c>
      <c r="AK115" s="99">
        <v>3</v>
      </c>
      <c r="AL115" s="99">
        <f t="shared" si="25"/>
        <v>166</v>
      </c>
      <c r="AM115" s="117">
        <f t="shared" si="11"/>
        <v>36520000</v>
      </c>
      <c r="AN115" s="99"/>
      <c r="AR115" s="96"/>
      <c r="AS115" s="96"/>
      <c r="AT115"/>
    </row>
    <row r="116" spans="6:46">
      <c r="K116" s="168" t="s">
        <v>4539</v>
      </c>
      <c r="L116" s="168" t="s">
        <v>4540</v>
      </c>
      <c r="M116" s="168" t="s">
        <v>4434</v>
      </c>
      <c r="N116" s="56" t="s">
        <v>190</v>
      </c>
      <c r="Q116" s="35">
        <v>1472140</v>
      </c>
      <c r="R116" s="5" t="s">
        <v>4690</v>
      </c>
      <c r="S116" s="5">
        <f>S115-3</f>
        <v>143</v>
      </c>
      <c r="T116" s="5" t="s">
        <v>4692</v>
      </c>
      <c r="U116" s="168">
        <v>502</v>
      </c>
      <c r="V116" s="99">
        <f t="shared" si="22"/>
        <v>564.69911232876711</v>
      </c>
      <c r="W116" s="32">
        <f t="shared" si="28"/>
        <v>575.99309457534241</v>
      </c>
      <c r="X116" s="32">
        <f t="shared" si="29"/>
        <v>587.28707682191782</v>
      </c>
      <c r="Y116">
        <v>23000</v>
      </c>
      <c r="AH116" s="99">
        <v>96</v>
      </c>
      <c r="AI116" s="113" t="s">
        <v>4600</v>
      </c>
      <c r="AJ116" s="113">
        <v>4000000</v>
      </c>
      <c r="AK116" s="99">
        <v>1</v>
      </c>
      <c r="AL116" s="99">
        <f t="shared" si="25"/>
        <v>163</v>
      </c>
      <c r="AM116" s="117">
        <f t="shared" si="11"/>
        <v>652000000</v>
      </c>
      <c r="AN116" s="99"/>
    </row>
    <row r="117" spans="6:46">
      <c r="K117" s="168" t="s">
        <v>4242</v>
      </c>
      <c r="L117" s="169">
        <v>1100000</v>
      </c>
      <c r="M117" s="169">
        <v>1637000</v>
      </c>
      <c r="N117" s="168">
        <f t="shared" ref="N117:N125" si="30">(M117-L117)*100/L117</f>
        <v>48.81818181818182</v>
      </c>
      <c r="Q117" s="35">
        <v>4394591</v>
      </c>
      <c r="R117" s="5" t="s">
        <v>4694</v>
      </c>
      <c r="S117" s="5">
        <f>S116-1</f>
        <v>142</v>
      </c>
      <c r="T117" s="5" t="s">
        <v>4695</v>
      </c>
      <c r="U117" s="168">
        <v>481.7</v>
      </c>
      <c r="V117" s="99">
        <f t="shared" si="22"/>
        <v>541.49414684931514</v>
      </c>
      <c r="W117" s="32">
        <f t="shared" si="28"/>
        <v>552.32402978630148</v>
      </c>
      <c r="X117" s="32">
        <f t="shared" si="29"/>
        <v>563.15391272328782</v>
      </c>
      <c r="Y117">
        <v>6000</v>
      </c>
      <c r="AH117" s="99">
        <v>97</v>
      </c>
      <c r="AI117" s="113" t="s">
        <v>4605</v>
      </c>
      <c r="AJ117" s="113">
        <v>-9000000</v>
      </c>
      <c r="AK117" s="99">
        <v>0</v>
      </c>
      <c r="AL117" s="99">
        <f t="shared" si="25"/>
        <v>162</v>
      </c>
      <c r="AM117" s="117">
        <f t="shared" si="11"/>
        <v>-1458000000</v>
      </c>
      <c r="AN117" s="99"/>
      <c r="AP117" t="s">
        <v>25</v>
      </c>
    </row>
    <row r="118" spans="6:46">
      <c r="F118" s="214"/>
      <c r="G118" s="214"/>
      <c r="H118" s="214"/>
      <c r="I118" s="214"/>
      <c r="J118" s="214" t="s">
        <v>4888</v>
      </c>
      <c r="K118" s="5" t="s">
        <v>4534</v>
      </c>
      <c r="L118" s="169">
        <v>1100000</v>
      </c>
      <c r="M118" s="169">
        <v>4748000</v>
      </c>
      <c r="N118" s="168">
        <f t="shared" si="30"/>
        <v>331.63636363636363</v>
      </c>
      <c r="Q118" s="117">
        <v>5924703</v>
      </c>
      <c r="R118" s="19" t="s">
        <v>4717</v>
      </c>
      <c r="S118" s="19">
        <f>S117-13</f>
        <v>129</v>
      </c>
      <c r="T118" s="19" t="s">
        <v>4794</v>
      </c>
      <c r="U118" s="214">
        <v>489</v>
      </c>
      <c r="V118" s="99">
        <f t="shared" si="22"/>
        <v>544.82370410958913</v>
      </c>
      <c r="W118" s="32">
        <f t="shared" si="28"/>
        <v>555.72017819178097</v>
      </c>
      <c r="X118" s="32">
        <f t="shared" si="29"/>
        <v>566.6166522739727</v>
      </c>
      <c r="AH118" s="99">
        <v>98</v>
      </c>
      <c r="AI118" s="113" t="s">
        <v>4605</v>
      </c>
      <c r="AJ118" s="113">
        <v>13900000</v>
      </c>
      <c r="AK118" s="99">
        <v>2</v>
      </c>
      <c r="AL118" s="99">
        <f t="shared" si="25"/>
        <v>162</v>
      </c>
      <c r="AM118" s="117">
        <f t="shared" si="11"/>
        <v>2251800000</v>
      </c>
      <c r="AN118" s="99"/>
    </row>
    <row r="119" spans="6:46">
      <c r="F119" s="214" t="s">
        <v>4362</v>
      </c>
      <c r="G119" s="214" t="s">
        <v>941</v>
      </c>
      <c r="H119" s="214" t="s">
        <v>4539</v>
      </c>
      <c r="I119" s="214" t="s">
        <v>937</v>
      </c>
      <c r="J119" s="214" t="s">
        <v>4765</v>
      </c>
      <c r="K119" s="5" t="s">
        <v>4535</v>
      </c>
      <c r="L119" s="169">
        <v>1100000</v>
      </c>
      <c r="M119" s="169">
        <v>5137000</v>
      </c>
      <c r="N119" s="168">
        <f t="shared" si="30"/>
        <v>367</v>
      </c>
      <c r="Q119" s="117">
        <v>153812</v>
      </c>
      <c r="R119" s="19" t="s">
        <v>4800</v>
      </c>
      <c r="S119" s="19">
        <f>S118-17</f>
        <v>112</v>
      </c>
      <c r="T119" s="19" t="s">
        <v>4801</v>
      </c>
      <c r="U119" s="214">
        <v>537.20000000000005</v>
      </c>
      <c r="V119" s="99">
        <f t="shared" si="22"/>
        <v>591.5204865753426</v>
      </c>
      <c r="W119" s="32">
        <f t="shared" si="28"/>
        <v>603.35089630684945</v>
      </c>
      <c r="X119" s="32">
        <f t="shared" si="29"/>
        <v>615.1813060383563</v>
      </c>
      <c r="Y119">
        <v>3300</v>
      </c>
      <c r="AH119" s="99">
        <v>99</v>
      </c>
      <c r="AI119" s="113" t="s">
        <v>4614</v>
      </c>
      <c r="AJ119" s="113">
        <v>-8127577</v>
      </c>
      <c r="AK119" s="99">
        <v>1</v>
      </c>
      <c r="AL119" s="99">
        <f t="shared" si="25"/>
        <v>160</v>
      </c>
      <c r="AM119" s="117">
        <f t="shared" si="11"/>
        <v>-1300412320</v>
      </c>
      <c r="AN119" s="99"/>
      <c r="AO119" t="s">
        <v>25</v>
      </c>
      <c r="AQ119" t="s">
        <v>25</v>
      </c>
    </row>
    <row r="120" spans="6:46">
      <c r="F120" s="1">
        <v>3775.1</v>
      </c>
      <c r="G120" s="1">
        <v>4200</v>
      </c>
      <c r="H120" s="214" t="s">
        <v>4389</v>
      </c>
      <c r="I120" s="214">
        <v>1000</v>
      </c>
      <c r="J120" s="1">
        <f>I120*G120</f>
        <v>4200000</v>
      </c>
      <c r="K120" s="19" t="s">
        <v>4389</v>
      </c>
      <c r="L120" s="169">
        <v>1100000</v>
      </c>
      <c r="M120" s="169">
        <v>4300000</v>
      </c>
      <c r="N120" s="168">
        <f t="shared" si="30"/>
        <v>290.90909090909093</v>
      </c>
      <c r="P120" s="114"/>
      <c r="Q120" s="169">
        <v>6150141</v>
      </c>
      <c r="R120" s="214" t="s">
        <v>4891</v>
      </c>
      <c r="S120" s="214">
        <f>S119-34</f>
        <v>78</v>
      </c>
      <c r="T120" s="214" t="s">
        <v>4898</v>
      </c>
      <c r="U120" s="214">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159</v>
      </c>
      <c r="AM120" s="117">
        <f t="shared" si="11"/>
        <v>2511015291</v>
      </c>
      <c r="AN120" s="99"/>
      <c r="AO120" t="s">
        <v>25</v>
      </c>
      <c r="AP120" t="s">
        <v>25</v>
      </c>
    </row>
    <row r="121" spans="6:46">
      <c r="F121" s="1">
        <v>6250.1</v>
      </c>
      <c r="G121" s="1">
        <f>P46</f>
        <v>5240.7</v>
      </c>
      <c r="H121" s="214" t="s">
        <v>4889</v>
      </c>
      <c r="I121" s="214">
        <v>1000</v>
      </c>
      <c r="J121" s="1">
        <f>I121*G121+1460000</f>
        <v>6700700</v>
      </c>
      <c r="K121" s="5" t="s">
        <v>4408</v>
      </c>
      <c r="L121" s="169">
        <v>1100000</v>
      </c>
      <c r="M121" s="169">
        <v>3191000</v>
      </c>
      <c r="N121" s="168">
        <f t="shared" si="30"/>
        <v>190.09090909090909</v>
      </c>
      <c r="Q121" s="169">
        <v>162112</v>
      </c>
      <c r="R121" s="214" t="s">
        <v>4912</v>
      </c>
      <c r="S121" s="214">
        <f>S120-7</f>
        <v>71</v>
      </c>
      <c r="T121" s="214" t="s">
        <v>4914</v>
      </c>
      <c r="U121" s="214">
        <v>632.79999999999995</v>
      </c>
      <c r="V121" s="99">
        <f t="shared" si="22"/>
        <v>676.88448876712334</v>
      </c>
      <c r="W121" s="32">
        <f t="shared" si="28"/>
        <v>690.42217854246587</v>
      </c>
      <c r="X121" s="32">
        <f t="shared" si="29"/>
        <v>703.95986831780829</v>
      </c>
      <c r="AH121" s="99">
        <v>101</v>
      </c>
      <c r="AI121" s="113" t="s">
        <v>4619</v>
      </c>
      <c r="AJ121" s="113">
        <v>8800000</v>
      </c>
      <c r="AK121" s="99">
        <v>0</v>
      </c>
      <c r="AL121" s="99">
        <f t="shared" ref="AL121:AL125" si="31">AL122+AK121</f>
        <v>156</v>
      </c>
      <c r="AM121" s="117">
        <f t="shared" ref="AM121:AM144" si="32">AJ121*AL121</f>
        <v>1372800000</v>
      </c>
      <c r="AN121" s="99"/>
      <c r="AP121" t="s">
        <v>25</v>
      </c>
    </row>
    <row r="122" spans="6:46" ht="45">
      <c r="F122" s="1">
        <v>183</v>
      </c>
      <c r="G122" s="1">
        <f>P49</f>
        <v>221.4</v>
      </c>
      <c r="H122" s="214" t="s">
        <v>4242</v>
      </c>
      <c r="I122" s="214">
        <v>108344</v>
      </c>
      <c r="J122" s="1">
        <f t="shared" ref="J122:J123" si="33">I122*G122</f>
        <v>23987361.600000001</v>
      </c>
      <c r="K122" s="5" t="s">
        <v>4536</v>
      </c>
      <c r="L122" s="169">
        <v>1100000</v>
      </c>
      <c r="M122" s="169">
        <v>5623000</v>
      </c>
      <c r="N122" s="168">
        <f t="shared" si="30"/>
        <v>411.18181818181819</v>
      </c>
      <c r="Q122" s="169">
        <v>1399908</v>
      </c>
      <c r="R122" s="214" t="s">
        <v>4967</v>
      </c>
      <c r="S122" s="214">
        <f>S121-13</f>
        <v>58</v>
      </c>
      <c r="T122" s="214" t="s">
        <v>4968</v>
      </c>
      <c r="U122" s="214">
        <v>194</v>
      </c>
      <c r="V122" s="99">
        <f t="shared" si="22"/>
        <v>205.58047123287673</v>
      </c>
      <c r="W122" s="32">
        <f t="shared" si="28"/>
        <v>209.69208065753426</v>
      </c>
      <c r="X122" s="32">
        <f t="shared" si="29"/>
        <v>213.80369008219182</v>
      </c>
      <c r="Y122" t="s">
        <v>25</v>
      </c>
      <c r="AH122" s="121">
        <v>102</v>
      </c>
      <c r="AI122" s="79" t="s">
        <v>4619</v>
      </c>
      <c r="AJ122" s="79">
        <v>13071612</v>
      </c>
      <c r="AK122" s="121">
        <v>1</v>
      </c>
      <c r="AL122" s="121">
        <f t="shared" si="31"/>
        <v>156</v>
      </c>
      <c r="AM122" s="79">
        <f t="shared" si="32"/>
        <v>2039171472</v>
      </c>
      <c r="AN122" s="206" t="s">
        <v>4620</v>
      </c>
    </row>
    <row r="123" spans="6:46">
      <c r="F123" s="1">
        <v>4485.1000000000004</v>
      </c>
      <c r="G123" s="1">
        <v>5190</v>
      </c>
      <c r="H123" s="214" t="s">
        <v>4536</v>
      </c>
      <c r="I123" s="214">
        <v>3</v>
      </c>
      <c r="J123" s="1">
        <f t="shared" si="33"/>
        <v>15570</v>
      </c>
      <c r="K123" s="19" t="s">
        <v>4393</v>
      </c>
      <c r="L123" s="169">
        <v>1100000</v>
      </c>
      <c r="M123" s="169">
        <v>7728000</v>
      </c>
      <c r="N123" s="168">
        <f t="shared" si="30"/>
        <v>602.5454545454545</v>
      </c>
      <c r="Q123" s="169">
        <v>1204033</v>
      </c>
      <c r="R123" s="214" t="s">
        <v>4977</v>
      </c>
      <c r="S123" s="214">
        <f>S122-7</f>
        <v>51</v>
      </c>
      <c r="T123" s="214" t="s">
        <v>4980</v>
      </c>
      <c r="U123" s="214">
        <v>218.5</v>
      </c>
      <c r="V123" s="99">
        <f t="shared" ref="V123:V141" si="34">U123*(1+$R$87+$Q$15*S123/36500)</f>
        <v>230.36963835616439</v>
      </c>
      <c r="W123" s="32">
        <f t="shared" si="28"/>
        <v>234.97703112328767</v>
      </c>
      <c r="X123" s="32">
        <f t="shared" si="29"/>
        <v>239.58442389041096</v>
      </c>
      <c r="Y123" t="s">
        <v>25</v>
      </c>
      <c r="AH123" s="89">
        <v>103</v>
      </c>
      <c r="AI123" s="90" t="s">
        <v>4623</v>
      </c>
      <c r="AJ123" s="90">
        <v>16727037</v>
      </c>
      <c r="AK123" s="89">
        <v>0</v>
      </c>
      <c r="AL123" s="89">
        <f t="shared" si="31"/>
        <v>155</v>
      </c>
      <c r="AM123" s="90">
        <f t="shared" si="32"/>
        <v>2592690735</v>
      </c>
      <c r="AN123" s="89" t="s">
        <v>4631</v>
      </c>
    </row>
    <row r="124" spans="6:46">
      <c r="F124" s="214"/>
      <c r="G124" s="214"/>
      <c r="H124" s="214"/>
      <c r="I124" s="214"/>
      <c r="J124" s="1">
        <f>SUM(J120:J123)</f>
        <v>34903631.600000001</v>
      </c>
      <c r="K124" s="5" t="s">
        <v>4538</v>
      </c>
      <c r="L124" s="169">
        <v>1100000</v>
      </c>
      <c r="M124" s="169">
        <v>2904000</v>
      </c>
      <c r="N124" s="168">
        <f t="shared" si="30"/>
        <v>164</v>
      </c>
      <c r="Q124" s="169">
        <v>8382674</v>
      </c>
      <c r="R124" s="214" t="s">
        <v>4987</v>
      </c>
      <c r="S124" s="214">
        <f>S123-7</f>
        <v>44</v>
      </c>
      <c r="T124" s="214" t="s">
        <v>4993</v>
      </c>
      <c r="U124" s="214">
        <v>192</v>
      </c>
      <c r="V124" s="99">
        <f t="shared" si="34"/>
        <v>201.39905753424659</v>
      </c>
      <c r="W124" s="32">
        <f t="shared" si="28"/>
        <v>205.42703868493152</v>
      </c>
      <c r="X124" s="32">
        <f t="shared" si="29"/>
        <v>209.45501983561647</v>
      </c>
      <c r="Y124" s="122" t="s">
        <v>25</v>
      </c>
      <c r="AH124" s="99">
        <v>104</v>
      </c>
      <c r="AI124" s="113" t="s">
        <v>4623</v>
      </c>
      <c r="AJ124" s="113">
        <v>12000000</v>
      </c>
      <c r="AK124" s="99">
        <v>1</v>
      </c>
      <c r="AL124" s="99">
        <f t="shared" si="31"/>
        <v>155</v>
      </c>
      <c r="AM124" s="117">
        <f t="shared" si="32"/>
        <v>1860000000</v>
      </c>
      <c r="AN124" s="99" t="s">
        <v>4632</v>
      </c>
    </row>
    <row r="125" spans="6:46">
      <c r="F125" s="214"/>
      <c r="G125" s="214"/>
      <c r="H125" s="214"/>
      <c r="I125" s="214"/>
      <c r="J125" s="214" t="s">
        <v>6</v>
      </c>
      <c r="K125" s="56" t="s">
        <v>1086</v>
      </c>
      <c r="L125" s="169">
        <v>1100000</v>
      </c>
      <c r="M125" s="169">
        <v>3400000</v>
      </c>
      <c r="N125" s="168">
        <f t="shared" si="30"/>
        <v>209.09090909090909</v>
      </c>
      <c r="P125" s="114"/>
      <c r="Q125" s="169">
        <v>190884649</v>
      </c>
      <c r="R125" s="214" t="s">
        <v>5011</v>
      </c>
      <c r="S125" s="214">
        <f>S124-9</f>
        <v>35</v>
      </c>
      <c r="T125" s="214" t="s">
        <v>5014</v>
      </c>
      <c r="U125" s="214">
        <v>193.6</v>
      </c>
      <c r="V125" s="99">
        <f t="shared" si="34"/>
        <v>201.74074739726029</v>
      </c>
      <c r="W125" s="32">
        <f t="shared" si="28"/>
        <v>205.77556234520551</v>
      </c>
      <c r="X125" s="32">
        <f t="shared" si="29"/>
        <v>209.81037729315071</v>
      </c>
      <c r="AH125" s="89">
        <v>105</v>
      </c>
      <c r="AI125" s="90" t="s">
        <v>4550</v>
      </c>
      <c r="AJ125" s="90">
        <v>88697667</v>
      </c>
      <c r="AK125" s="89">
        <v>1</v>
      </c>
      <c r="AL125" s="89">
        <f t="shared" si="31"/>
        <v>154</v>
      </c>
      <c r="AM125" s="90">
        <f t="shared" si="32"/>
        <v>13659440718</v>
      </c>
      <c r="AN125" s="89" t="s">
        <v>4633</v>
      </c>
      <c r="AP125" t="s">
        <v>25</v>
      </c>
    </row>
    <row r="126" spans="6:46">
      <c r="K126" s="244" t="s">
        <v>4567</v>
      </c>
      <c r="Q126" s="169">
        <v>2099962</v>
      </c>
      <c r="R126" s="214" t="s">
        <v>5013</v>
      </c>
      <c r="S126" s="214">
        <f>S125-1</f>
        <v>34</v>
      </c>
      <c r="T126" s="214" t="s">
        <v>5017</v>
      </c>
      <c r="U126" s="214">
        <v>196.5</v>
      </c>
      <c r="V126" s="99">
        <f t="shared" si="34"/>
        <v>204.61195068493151</v>
      </c>
      <c r="W126" s="32">
        <f t="shared" si="28"/>
        <v>208.70418969863016</v>
      </c>
      <c r="X126" s="32">
        <f t="shared" si="29"/>
        <v>212.79642871232878</v>
      </c>
      <c r="Y126" t="s">
        <v>25</v>
      </c>
      <c r="AH126" s="99">
        <v>106</v>
      </c>
      <c r="AI126" s="113" t="s">
        <v>4553</v>
      </c>
      <c r="AJ126" s="113">
        <v>101000</v>
      </c>
      <c r="AK126" s="99">
        <v>0</v>
      </c>
      <c r="AL126" s="99">
        <f>AL127+AK126</f>
        <v>153</v>
      </c>
      <c r="AM126" s="117">
        <f t="shared" si="32"/>
        <v>15453000</v>
      </c>
      <c r="AN126" s="99"/>
      <c r="AQ126" t="s">
        <v>25</v>
      </c>
    </row>
    <row r="127" spans="6:46">
      <c r="K127" s="244" t="s">
        <v>4568</v>
      </c>
      <c r="Q127" s="169">
        <v>130756</v>
      </c>
      <c r="R127" s="214" t="s">
        <v>5018</v>
      </c>
      <c r="S127" s="214">
        <f>S126-1</f>
        <v>33</v>
      </c>
      <c r="T127" s="214" t="s">
        <v>5019</v>
      </c>
      <c r="U127" s="214">
        <v>197.8</v>
      </c>
      <c r="V127" s="99">
        <f t="shared" si="34"/>
        <v>205.81388054794525</v>
      </c>
      <c r="W127" s="32">
        <f t="shared" si="28"/>
        <v>209.93015815890416</v>
      </c>
      <c r="X127" s="32">
        <f t="shared" si="29"/>
        <v>214.04643576986305</v>
      </c>
      <c r="AH127" s="149">
        <v>107</v>
      </c>
      <c r="AI127" s="189" t="s">
        <v>4630</v>
      </c>
      <c r="AJ127" s="189">
        <v>-48200</v>
      </c>
      <c r="AK127" s="149">
        <v>0</v>
      </c>
      <c r="AL127" s="149">
        <f t="shared" ref="AL127:AL179" si="35">AL128+AK127</f>
        <v>153</v>
      </c>
      <c r="AM127" s="189">
        <f t="shared" si="32"/>
        <v>-7374600</v>
      </c>
      <c r="AN127" s="149" t="s">
        <v>4640</v>
      </c>
    </row>
    <row r="128" spans="6:46">
      <c r="K128" s="244" t="s">
        <v>4569</v>
      </c>
      <c r="Q128" s="169">
        <v>795874</v>
      </c>
      <c r="R128" s="214" t="s">
        <v>5032</v>
      </c>
      <c r="S128" s="214">
        <f>S127-6</f>
        <v>27</v>
      </c>
      <c r="T128" s="214" t="s">
        <v>5033</v>
      </c>
      <c r="U128" s="214">
        <v>198.1</v>
      </c>
      <c r="V128" s="99">
        <f t="shared" si="34"/>
        <v>205.21423232876717</v>
      </c>
      <c r="W128" s="32">
        <f t="shared" si="28"/>
        <v>209.3185169753425</v>
      </c>
      <c r="X128" s="32">
        <f t="shared" si="29"/>
        <v>213.42280162191787</v>
      </c>
      <c r="AH128" s="89">
        <v>108</v>
      </c>
      <c r="AI128" s="90" t="s">
        <v>4630</v>
      </c>
      <c r="AJ128" s="90">
        <v>39327293</v>
      </c>
      <c r="AK128" s="89">
        <v>4</v>
      </c>
      <c r="AL128" s="149">
        <f t="shared" si="35"/>
        <v>153</v>
      </c>
      <c r="AM128" s="189">
        <f t="shared" si="32"/>
        <v>6017075829</v>
      </c>
      <c r="AN128" s="89" t="s">
        <v>4641</v>
      </c>
    </row>
    <row r="129" spans="10:43">
      <c r="Q129" s="169">
        <v>400348</v>
      </c>
      <c r="R129" s="214" t="s">
        <v>5035</v>
      </c>
      <c r="S129" s="214">
        <f>S128-1</f>
        <v>26</v>
      </c>
      <c r="T129" s="214" t="s">
        <v>5037</v>
      </c>
      <c r="U129" s="214">
        <v>199.3</v>
      </c>
      <c r="V129" s="99">
        <f t="shared" si="34"/>
        <v>206.30443945205482</v>
      </c>
      <c r="W129" s="32">
        <f t="shared" si="28"/>
        <v>210.43052824109591</v>
      </c>
      <c r="X129" s="32">
        <f t="shared" si="29"/>
        <v>214.55661703013703</v>
      </c>
      <c r="Y129" t="s">
        <v>25</v>
      </c>
      <c r="AH129" s="89">
        <v>109</v>
      </c>
      <c r="AI129" s="90" t="s">
        <v>4655</v>
      </c>
      <c r="AJ129" s="90">
        <v>8749050</v>
      </c>
      <c r="AK129" s="89">
        <v>1</v>
      </c>
      <c r="AL129" s="89">
        <f t="shared" si="35"/>
        <v>149</v>
      </c>
      <c r="AM129" s="90">
        <f t="shared" si="32"/>
        <v>1303608450</v>
      </c>
      <c r="AN129" s="89" t="s">
        <v>4657</v>
      </c>
    </row>
    <row r="130" spans="10:43">
      <c r="J130" t="s">
        <v>25</v>
      </c>
      <c r="Q130" s="169">
        <v>5896463</v>
      </c>
      <c r="R130" s="214" t="s">
        <v>5047</v>
      </c>
      <c r="S130" s="214">
        <f>S129-4</f>
        <v>22</v>
      </c>
      <c r="T130" s="214" t="s">
        <v>5048</v>
      </c>
      <c r="U130" s="214">
        <v>197.4</v>
      </c>
      <c r="V130" s="99">
        <f t="shared" si="34"/>
        <v>203.73194301369867</v>
      </c>
      <c r="W130" s="32">
        <f t="shared" si="28"/>
        <v>207.80658187397265</v>
      </c>
      <c r="X130" s="32">
        <f t="shared" si="29"/>
        <v>211.88122073424663</v>
      </c>
      <c r="Z130" t="s">
        <v>25</v>
      </c>
      <c r="AH130" s="99">
        <v>110</v>
      </c>
      <c r="AI130" s="113" t="s">
        <v>4659</v>
      </c>
      <c r="AJ130" s="113">
        <v>60000</v>
      </c>
      <c r="AK130" s="99">
        <v>1</v>
      </c>
      <c r="AL130" s="99">
        <f t="shared" si="35"/>
        <v>148</v>
      </c>
      <c r="AM130" s="117">
        <f t="shared" si="32"/>
        <v>8880000</v>
      </c>
      <c r="AN130" s="99" t="s">
        <v>4660</v>
      </c>
    </row>
    <row r="131" spans="10:43">
      <c r="Q131" s="169">
        <v>1499873</v>
      </c>
      <c r="R131" s="214" t="s">
        <v>5062</v>
      </c>
      <c r="S131" s="214">
        <f>S130-8</f>
        <v>14</v>
      </c>
      <c r="T131" s="214" t="s">
        <v>5066</v>
      </c>
      <c r="U131" s="214">
        <v>200.1</v>
      </c>
      <c r="V131" s="99">
        <f t="shared" si="34"/>
        <v>205.29053917808224</v>
      </c>
      <c r="W131" s="32">
        <f t="shared" si="28"/>
        <v>209.39634996164389</v>
      </c>
      <c r="X131" s="32">
        <f t="shared" si="29"/>
        <v>213.50216074520554</v>
      </c>
      <c r="Y131" t="s">
        <v>25</v>
      </c>
      <c r="AH131" s="20">
        <v>111</v>
      </c>
      <c r="AI131" s="117" t="s">
        <v>4668</v>
      </c>
      <c r="AJ131" s="117">
        <v>4750000</v>
      </c>
      <c r="AK131" s="20">
        <v>0</v>
      </c>
      <c r="AL131" s="99">
        <f t="shared" si="35"/>
        <v>147</v>
      </c>
      <c r="AM131" s="117">
        <f t="shared" si="32"/>
        <v>698250000</v>
      </c>
      <c r="AN131" s="20"/>
      <c r="AQ131" t="s">
        <v>25</v>
      </c>
    </row>
    <row r="132" spans="10:43">
      <c r="Q132" s="169">
        <v>25141103</v>
      </c>
      <c r="R132" s="214" t="s">
        <v>5089</v>
      </c>
      <c r="S132" s="214">
        <f>S131-7</f>
        <v>7</v>
      </c>
      <c r="T132" s="214" t="s">
        <v>5093</v>
      </c>
      <c r="U132" s="214">
        <v>211.3</v>
      </c>
      <c r="V132" s="99">
        <f t="shared" si="34"/>
        <v>215.64641205479455</v>
      </c>
      <c r="W132" s="32">
        <f t="shared" si="28"/>
        <v>219.95934029589046</v>
      </c>
      <c r="X132" s="32">
        <f t="shared" si="29"/>
        <v>224.27226853698633</v>
      </c>
      <c r="Y132" t="s">
        <v>25</v>
      </c>
      <c r="AH132" s="89">
        <v>112</v>
      </c>
      <c r="AI132" s="90" t="s">
        <v>4668</v>
      </c>
      <c r="AJ132" s="90">
        <v>13101160</v>
      </c>
      <c r="AK132" s="89">
        <v>1</v>
      </c>
      <c r="AL132" s="89">
        <f t="shared" si="35"/>
        <v>147</v>
      </c>
      <c r="AM132" s="90">
        <f t="shared" si="32"/>
        <v>1925870520</v>
      </c>
      <c r="AN132" s="89" t="s">
        <v>4671</v>
      </c>
    </row>
    <row r="133" spans="10:43">
      <c r="Q133" s="169">
        <v>120581</v>
      </c>
      <c r="R133" s="214" t="s">
        <v>5094</v>
      </c>
      <c r="S133" s="214">
        <f>S132-1</f>
        <v>6</v>
      </c>
      <c r="T133" s="214" t="s">
        <v>5095</v>
      </c>
      <c r="U133" s="214">
        <v>210.2</v>
      </c>
      <c r="V133" s="99">
        <f t="shared" si="34"/>
        <v>214.36253589041095</v>
      </c>
      <c r="W133" s="32">
        <f t="shared" si="28"/>
        <v>218.64978660821919</v>
      </c>
      <c r="X133" s="32">
        <f t="shared" si="29"/>
        <v>222.93703732602739</v>
      </c>
      <c r="AH133" s="20">
        <v>113</v>
      </c>
      <c r="AI133" s="117" t="s">
        <v>4670</v>
      </c>
      <c r="AJ133" s="117">
        <v>-980000</v>
      </c>
      <c r="AK133" s="20">
        <v>0</v>
      </c>
      <c r="AL133" s="99">
        <f t="shared" si="35"/>
        <v>146</v>
      </c>
      <c r="AM133" s="117">
        <f t="shared" si="32"/>
        <v>-143080000</v>
      </c>
      <c r="AN133" s="20"/>
    </row>
    <row r="134" spans="10:43">
      <c r="M134">
        <v>236</v>
      </c>
      <c r="N134">
        <v>3</v>
      </c>
      <c r="O134">
        <f>M134*N134</f>
        <v>708</v>
      </c>
      <c r="Q134" s="169">
        <v>500951</v>
      </c>
      <c r="R134" s="214" t="s">
        <v>5094</v>
      </c>
      <c r="S134" s="214">
        <f>S133</f>
        <v>6</v>
      </c>
      <c r="T134" s="214" t="s">
        <v>5099</v>
      </c>
      <c r="U134" s="214">
        <v>209.6</v>
      </c>
      <c r="V134" s="99">
        <f t="shared" si="34"/>
        <v>213.75065424657535</v>
      </c>
      <c r="W134" s="32">
        <f t="shared" si="28"/>
        <v>218.02566733150687</v>
      </c>
      <c r="X134" s="32">
        <f t="shared" si="29"/>
        <v>222.30068041643838</v>
      </c>
      <c r="Y134" t="s">
        <v>25</v>
      </c>
      <c r="AH134" s="89">
        <v>114</v>
      </c>
      <c r="AI134" s="90" t="s">
        <v>4670</v>
      </c>
      <c r="AJ134" s="90">
        <v>13301790</v>
      </c>
      <c r="AK134" s="89">
        <v>0</v>
      </c>
      <c r="AL134" s="89">
        <f t="shared" si="35"/>
        <v>146</v>
      </c>
      <c r="AM134" s="90">
        <f t="shared" si="32"/>
        <v>1942061340</v>
      </c>
      <c r="AN134" s="89" t="s">
        <v>4671</v>
      </c>
      <c r="AQ134" t="s">
        <v>25</v>
      </c>
    </row>
    <row r="135" spans="10:43">
      <c r="M135">
        <v>126</v>
      </c>
      <c r="N135">
        <v>1</v>
      </c>
      <c r="O135">
        <f>M135*N135</f>
        <v>126</v>
      </c>
      <c r="Q135" s="169">
        <v>493081</v>
      </c>
      <c r="R135" s="214" t="s">
        <v>5102</v>
      </c>
      <c r="S135" s="214">
        <f>S134-1</f>
        <v>5</v>
      </c>
      <c r="T135" s="214" t="s">
        <v>5104</v>
      </c>
      <c r="U135" s="214">
        <v>205.1</v>
      </c>
      <c r="V135" s="99">
        <f t="shared" si="34"/>
        <v>209.00420493150688</v>
      </c>
      <c r="W135" s="32">
        <f t="shared" si="28"/>
        <v>213.18428903013702</v>
      </c>
      <c r="X135" s="32">
        <f t="shared" si="29"/>
        <v>217.36437312876717</v>
      </c>
      <c r="AH135" s="20">
        <v>115</v>
      </c>
      <c r="AI135" s="117" t="s">
        <v>4670</v>
      </c>
      <c r="AJ135" s="117">
        <v>404000</v>
      </c>
      <c r="AK135" s="20">
        <v>5</v>
      </c>
      <c r="AL135" s="99">
        <f t="shared" si="35"/>
        <v>146</v>
      </c>
      <c r="AM135" s="117">
        <f t="shared" si="32"/>
        <v>58984000</v>
      </c>
      <c r="AN135" s="20" t="s">
        <v>4678</v>
      </c>
    </row>
    <row r="136" spans="10:43">
      <c r="L136">
        <v>821</v>
      </c>
      <c r="M136">
        <v>590</v>
      </c>
      <c r="N136">
        <v>0</v>
      </c>
      <c r="O136" s="96">
        <f>M136*N136</f>
        <v>0</v>
      </c>
      <c r="Q136" s="169">
        <v>47474542</v>
      </c>
      <c r="R136" s="214" t="s">
        <v>5106</v>
      </c>
      <c r="S136" s="214">
        <f>S135-3</f>
        <v>2</v>
      </c>
      <c r="T136" s="214" t="s">
        <v>5108</v>
      </c>
      <c r="U136" s="214">
        <v>203.6</v>
      </c>
      <c r="V136" s="99">
        <f t="shared" si="34"/>
        <v>207.00709260273976</v>
      </c>
      <c r="W136" s="32">
        <f t="shared" si="28"/>
        <v>211.14723445479456</v>
      </c>
      <c r="X136" s="32">
        <f t="shared" si="29"/>
        <v>215.28737630684935</v>
      </c>
      <c r="AH136" s="89">
        <v>116</v>
      </c>
      <c r="AI136" s="90" t="s">
        <v>4694</v>
      </c>
      <c r="AJ136" s="90">
        <v>4291628</v>
      </c>
      <c r="AK136" s="89">
        <v>2</v>
      </c>
      <c r="AL136" s="89">
        <f t="shared" si="35"/>
        <v>141</v>
      </c>
      <c r="AM136" s="90">
        <f t="shared" si="32"/>
        <v>605119548</v>
      </c>
      <c r="AN136" s="89" t="s">
        <v>4696</v>
      </c>
    </row>
    <row r="137" spans="10:43">
      <c r="Q137" s="169">
        <v>155246</v>
      </c>
      <c r="R137" s="214" t="s">
        <v>5111</v>
      </c>
      <c r="S137" s="214">
        <f>S136-1</f>
        <v>1</v>
      </c>
      <c r="T137" s="214" t="s">
        <v>5118</v>
      </c>
      <c r="U137" s="214">
        <v>510</v>
      </c>
      <c r="V137" s="99">
        <f t="shared" si="34"/>
        <v>518.14323287671232</v>
      </c>
      <c r="W137" s="32">
        <f t="shared" si="28"/>
        <v>528.50609753424658</v>
      </c>
      <c r="X137" s="32">
        <f t="shared" si="29"/>
        <v>538.86896219178084</v>
      </c>
      <c r="Z137" t="s">
        <v>25</v>
      </c>
      <c r="AH137" s="20">
        <v>117</v>
      </c>
      <c r="AI137" s="117" t="s">
        <v>4698</v>
      </c>
      <c r="AJ137" s="117">
        <v>1000</v>
      </c>
      <c r="AK137" s="20">
        <v>5</v>
      </c>
      <c r="AL137" s="20">
        <f t="shared" si="35"/>
        <v>139</v>
      </c>
      <c r="AM137" s="117">
        <f t="shared" si="32"/>
        <v>139000</v>
      </c>
      <c r="AN137" s="20"/>
    </row>
    <row r="138" spans="10:43">
      <c r="O138">
        <f>O134+O135+O136</f>
        <v>834</v>
      </c>
      <c r="Q138" s="169">
        <v>100930</v>
      </c>
      <c r="R138" s="214" t="s">
        <v>5120</v>
      </c>
      <c r="S138" s="214">
        <f>S137-1</f>
        <v>0</v>
      </c>
      <c r="T138" s="214" t="s">
        <v>5124</v>
      </c>
      <c r="U138" s="214">
        <v>213.3</v>
      </c>
      <c r="V138" s="99">
        <f t="shared" si="34"/>
        <v>216.54216000000002</v>
      </c>
      <c r="W138" s="32">
        <f t="shared" si="28"/>
        <v>220.87300320000003</v>
      </c>
      <c r="X138" s="32">
        <f t="shared" si="29"/>
        <v>225.20384640000003</v>
      </c>
      <c r="Y138" t="s">
        <v>25</v>
      </c>
      <c r="AH138" s="121">
        <v>118</v>
      </c>
      <c r="AI138" s="79" t="s">
        <v>4706</v>
      </c>
      <c r="AJ138" s="79">
        <v>8739459</v>
      </c>
      <c r="AK138" s="121">
        <v>2</v>
      </c>
      <c r="AL138" s="121">
        <f t="shared" si="35"/>
        <v>134</v>
      </c>
      <c r="AM138" s="79">
        <f t="shared" si="32"/>
        <v>1171087506</v>
      </c>
      <c r="AN138" s="121" t="s">
        <v>4657</v>
      </c>
    </row>
    <row r="139" spans="10:43">
      <c r="Q139" s="169">
        <v>1324302</v>
      </c>
      <c r="R139" s="214" t="s">
        <v>5120</v>
      </c>
      <c r="S139" s="214">
        <f>S138</f>
        <v>0</v>
      </c>
      <c r="T139" s="214" t="s">
        <v>5126</v>
      </c>
      <c r="U139" s="214">
        <v>821.3</v>
      </c>
      <c r="V139" s="99">
        <f t="shared" si="34"/>
        <v>833.78376000000003</v>
      </c>
      <c r="W139" s="32">
        <f t="shared" si="28"/>
        <v>850.45943520000003</v>
      </c>
      <c r="X139" s="32">
        <f t="shared" si="29"/>
        <v>867.13511040000003</v>
      </c>
      <c r="AH139" s="121">
        <v>119</v>
      </c>
      <c r="AI139" s="79" t="s">
        <v>4707</v>
      </c>
      <c r="AJ139" s="79">
        <v>17595278</v>
      </c>
      <c r="AK139" s="121">
        <v>1</v>
      </c>
      <c r="AL139" s="121">
        <f t="shared" si="35"/>
        <v>132</v>
      </c>
      <c r="AM139" s="79">
        <f t="shared" si="32"/>
        <v>2322576696</v>
      </c>
      <c r="AN139" s="121" t="s">
        <v>4709</v>
      </c>
      <c r="AQ139" t="s">
        <v>25</v>
      </c>
    </row>
    <row r="140" spans="10:43">
      <c r="Q140" s="169">
        <v>104673</v>
      </c>
      <c r="R140" s="214" t="s">
        <v>5129</v>
      </c>
      <c r="S140" s="214">
        <f>S139-2</f>
        <v>-2</v>
      </c>
      <c r="T140" s="214" t="s">
        <v>5133</v>
      </c>
      <c r="U140" s="214">
        <v>4530</v>
      </c>
      <c r="V140" s="99">
        <f t="shared" si="34"/>
        <v>4591.9058630136988</v>
      </c>
      <c r="W140" s="32">
        <f t="shared" si="28"/>
        <v>4683.7439802739727</v>
      </c>
      <c r="X140" s="32">
        <f t="shared" si="29"/>
        <v>4775.5820975342467</v>
      </c>
      <c r="AH140" s="121">
        <v>120</v>
      </c>
      <c r="AI140" s="79" t="s">
        <v>4708</v>
      </c>
      <c r="AJ140" s="79">
        <v>13335309</v>
      </c>
      <c r="AK140" s="121">
        <v>13</v>
      </c>
      <c r="AL140" s="121">
        <f t="shared" si="35"/>
        <v>131</v>
      </c>
      <c r="AM140" s="79">
        <f t="shared" si="32"/>
        <v>1746925479</v>
      </c>
      <c r="AN140" s="121" t="s">
        <v>4671</v>
      </c>
    </row>
    <row r="141" spans="10:43">
      <c r="Q141" s="169"/>
      <c r="R141" s="168"/>
      <c r="S141" s="168"/>
      <c r="T141" s="168"/>
      <c r="U141" s="168"/>
      <c r="V141" s="99">
        <f t="shared" si="34"/>
        <v>0</v>
      </c>
      <c r="W141" s="32">
        <f t="shared" si="28"/>
        <v>0</v>
      </c>
      <c r="X141" s="32">
        <f t="shared" si="29"/>
        <v>0</v>
      </c>
      <c r="Y141" t="s">
        <v>25</v>
      </c>
      <c r="AA141" t="s">
        <v>25</v>
      </c>
      <c r="AH141" s="161">
        <v>121</v>
      </c>
      <c r="AI141" s="229" t="s">
        <v>4764</v>
      </c>
      <c r="AJ141" s="229">
        <v>50000000</v>
      </c>
      <c r="AK141" s="161">
        <v>11</v>
      </c>
      <c r="AL141" s="161">
        <f t="shared" si="35"/>
        <v>118</v>
      </c>
      <c r="AM141" s="229">
        <f t="shared" si="32"/>
        <v>5900000000</v>
      </c>
      <c r="AN141" s="161" t="s">
        <v>4766</v>
      </c>
      <c r="AP141" t="s">
        <v>25</v>
      </c>
    </row>
    <row r="142" spans="10:43">
      <c r="Q142" s="113">
        <f>SUM(N44:N50)-SUM(Q91:Q141)</f>
        <v>112085929.20000005</v>
      </c>
      <c r="R142" s="112"/>
      <c r="S142" s="112"/>
      <c r="T142" s="112"/>
      <c r="U142" s="168"/>
      <c r="V142" s="99" t="s">
        <v>25</v>
      </c>
      <c r="W142" s="32"/>
      <c r="X142" s="32"/>
      <c r="Y142" t="s">
        <v>25</v>
      </c>
      <c r="AH142" s="20">
        <v>122</v>
      </c>
      <c r="AI142" s="117" t="s">
        <v>974</v>
      </c>
      <c r="AJ142" s="117">
        <v>30000</v>
      </c>
      <c r="AK142" s="20">
        <v>3</v>
      </c>
      <c r="AL142" s="20">
        <f t="shared" si="35"/>
        <v>107</v>
      </c>
      <c r="AM142" s="117">
        <f t="shared" si="32"/>
        <v>3210000</v>
      </c>
      <c r="AN142" s="20"/>
    </row>
    <row r="143" spans="10:43">
      <c r="P143" s="114"/>
      <c r="Q143" s="26"/>
      <c r="R143" s="181"/>
      <c r="S143" s="181"/>
      <c r="T143" t="s">
        <v>25</v>
      </c>
      <c r="U143" s="96" t="s">
        <v>25</v>
      </c>
      <c r="V143" s="96" t="s">
        <v>25</v>
      </c>
      <c r="W143" s="96" t="s">
        <v>25</v>
      </c>
      <c r="Y143" t="s">
        <v>25</v>
      </c>
      <c r="AH143" s="20">
        <v>123</v>
      </c>
      <c r="AI143" s="117" t="s">
        <v>4830</v>
      </c>
      <c r="AJ143" s="117">
        <v>600000</v>
      </c>
      <c r="AK143" s="20">
        <v>1</v>
      </c>
      <c r="AL143" s="20">
        <f t="shared" si="35"/>
        <v>104</v>
      </c>
      <c r="AM143" s="117">
        <f t="shared" si="32"/>
        <v>62400000</v>
      </c>
      <c r="AN143" s="20"/>
    </row>
    <row r="144" spans="10:43">
      <c r="R144" s="32" t="s">
        <v>4571</v>
      </c>
      <c r="S144" s="32" t="s">
        <v>950</v>
      </c>
      <c r="T144" t="s">
        <v>25</v>
      </c>
      <c r="U144" s="96" t="s">
        <v>25</v>
      </c>
      <c r="V144" s="96" t="s">
        <v>25</v>
      </c>
      <c r="W144" s="96" t="s">
        <v>25</v>
      </c>
      <c r="X144" s="122" t="s">
        <v>25</v>
      </c>
      <c r="Y144" t="s">
        <v>25</v>
      </c>
      <c r="AH144" s="20">
        <v>124</v>
      </c>
      <c r="AI144" s="117" t="s">
        <v>4837</v>
      </c>
      <c r="AJ144" s="117">
        <v>30000</v>
      </c>
      <c r="AK144" s="20">
        <v>3</v>
      </c>
      <c r="AL144" s="20">
        <f t="shared" si="35"/>
        <v>103</v>
      </c>
      <c r="AM144" s="117">
        <f t="shared" si="32"/>
        <v>3090000</v>
      </c>
      <c r="AN144" s="20"/>
    </row>
    <row r="145" spans="6:44">
      <c r="R145" s="32">
        <v>6974</v>
      </c>
      <c r="S145" s="235">
        <v>37856769</v>
      </c>
      <c r="U145" s="96" t="s">
        <v>25</v>
      </c>
      <c r="V145" s="122" t="s">
        <v>25</v>
      </c>
      <c r="W145" s="96" t="s">
        <v>25</v>
      </c>
      <c r="X145" t="s">
        <v>25</v>
      </c>
      <c r="AH145" s="20">
        <v>125</v>
      </c>
      <c r="AI145" s="117" t="s">
        <v>4844</v>
      </c>
      <c r="AJ145" s="117">
        <v>2250000</v>
      </c>
      <c r="AK145" s="20">
        <v>1</v>
      </c>
      <c r="AL145" s="20">
        <f t="shared" si="35"/>
        <v>100</v>
      </c>
      <c r="AM145" s="117">
        <f t="shared" ref="AM145:AM147" si="36">AJ145*AL145</f>
        <v>225000000</v>
      </c>
      <c r="AN145" s="20"/>
      <c r="AR145" t="s">
        <v>25</v>
      </c>
    </row>
    <row r="146" spans="6:44">
      <c r="F146" t="s">
        <v>4833</v>
      </c>
      <c r="G146">
        <v>1200</v>
      </c>
      <c r="H146" t="s">
        <v>4834</v>
      </c>
      <c r="Q146" t="s">
        <v>25</v>
      </c>
      <c r="R146" s="32">
        <v>489</v>
      </c>
      <c r="S146" s="1">
        <f>S145*R146/R145</f>
        <v>2654425.0130484658</v>
      </c>
      <c r="U146" s="96" t="s">
        <v>25</v>
      </c>
      <c r="V146" s="122" t="s">
        <v>25</v>
      </c>
      <c r="W146" s="96" t="s">
        <v>25</v>
      </c>
      <c r="X146" t="s">
        <v>25</v>
      </c>
      <c r="AH146" s="23">
        <v>126</v>
      </c>
      <c r="AI146" s="35" t="s">
        <v>4849</v>
      </c>
      <c r="AJ146" s="35">
        <v>-31412200</v>
      </c>
      <c r="AK146" s="23">
        <v>1</v>
      </c>
      <c r="AL146" s="20">
        <f t="shared" si="35"/>
        <v>99</v>
      </c>
      <c r="AM146" s="35">
        <f t="shared" si="36"/>
        <v>-3109807800</v>
      </c>
      <c r="AN146" s="23" t="s">
        <v>4832</v>
      </c>
    </row>
    <row r="147" spans="6:44">
      <c r="G147">
        <v>1350</v>
      </c>
      <c r="H147" t="s">
        <v>4835</v>
      </c>
      <c r="R147" s="32">
        <f>R145-R146</f>
        <v>6485</v>
      </c>
      <c r="S147" s="1">
        <f>R147*S145/R145</f>
        <v>35202343.986951537</v>
      </c>
      <c r="T147" t="s">
        <v>25</v>
      </c>
      <c r="U147" s="122" t="s">
        <v>25</v>
      </c>
      <c r="V147" s="96"/>
      <c r="W147"/>
      <c r="X147" t="s">
        <v>25</v>
      </c>
      <c r="Z147" s="96"/>
      <c r="AH147" s="20">
        <v>127</v>
      </c>
      <c r="AI147" s="117" t="s">
        <v>4858</v>
      </c>
      <c r="AJ147" s="117">
        <v>70000</v>
      </c>
      <c r="AK147" s="20">
        <v>9</v>
      </c>
      <c r="AL147" s="20">
        <f t="shared" si="35"/>
        <v>98</v>
      </c>
      <c r="AM147" s="117">
        <f t="shared" si="36"/>
        <v>6860000</v>
      </c>
      <c r="AN147" s="20"/>
    </row>
    <row r="148" spans="6:44">
      <c r="G148">
        <v>1050</v>
      </c>
      <c r="H148" t="s">
        <v>4836</v>
      </c>
      <c r="P148">
        <f>R153+55459</f>
        <v>1828796</v>
      </c>
      <c r="V148" s="96"/>
      <c r="W148"/>
      <c r="X148" t="s">
        <v>25</v>
      </c>
      <c r="Z148" s="96"/>
      <c r="AH148" s="99">
        <v>128</v>
      </c>
      <c r="AI148" s="113" t="s">
        <v>4867</v>
      </c>
      <c r="AJ148" s="113">
        <v>20000</v>
      </c>
      <c r="AK148" s="99">
        <v>10</v>
      </c>
      <c r="AL148" s="20">
        <f t="shared" si="35"/>
        <v>89</v>
      </c>
      <c r="AM148" s="117">
        <f t="shared" ref="AM148:AM149" si="37">AJ148*AL148</f>
        <v>1780000</v>
      </c>
      <c r="AN148" s="20"/>
      <c r="AP148" t="s">
        <v>25</v>
      </c>
    </row>
    <row r="149" spans="6:44">
      <c r="Q149" s="99" t="s">
        <v>4461</v>
      </c>
      <c r="R149" s="99" t="s">
        <v>4463</v>
      </c>
      <c r="S149" s="99"/>
      <c r="T149" s="99" t="s">
        <v>4464</v>
      </c>
      <c r="U149" s="99"/>
      <c r="V149" s="99"/>
      <c r="W149" s="99" t="s">
        <v>4574</v>
      </c>
      <c r="Z149" s="96"/>
      <c r="AH149" s="99">
        <v>129</v>
      </c>
      <c r="AI149" s="113" t="s">
        <v>4890</v>
      </c>
      <c r="AJ149" s="113">
        <v>1000000</v>
      </c>
      <c r="AK149" s="99">
        <v>1</v>
      </c>
      <c r="AL149" s="20">
        <f t="shared" si="35"/>
        <v>79</v>
      </c>
      <c r="AM149" s="117">
        <f t="shared" si="37"/>
        <v>79000000</v>
      </c>
      <c r="AN149" s="20"/>
    </row>
    <row r="150" spans="6:44">
      <c r="Q150" s="113">
        <v>1000</v>
      </c>
      <c r="R150" s="99">
        <v>0.25</v>
      </c>
      <c r="S150" s="99"/>
      <c r="T150" s="99">
        <f>1-R150</f>
        <v>0.75</v>
      </c>
      <c r="U150" s="99"/>
      <c r="V150" s="99"/>
      <c r="W150" s="99"/>
      <c r="Z150" s="96"/>
      <c r="AA150" s="114"/>
      <c r="AC150" s="114"/>
      <c r="AD150" s="114"/>
      <c r="AH150" s="99">
        <v>130</v>
      </c>
      <c r="AI150" s="113" t="s">
        <v>4891</v>
      </c>
      <c r="AJ150" s="113">
        <v>65630227</v>
      </c>
      <c r="AK150" s="99">
        <v>0</v>
      </c>
      <c r="AL150" s="20">
        <f t="shared" si="35"/>
        <v>78</v>
      </c>
      <c r="AM150" s="117">
        <f t="shared" ref="AM150:AM179" si="38">AJ150*AL150</f>
        <v>5119157706</v>
      </c>
      <c r="AN150" s="20" t="s">
        <v>4895</v>
      </c>
      <c r="AP150" t="s">
        <v>25</v>
      </c>
      <c r="AR150" t="s">
        <v>25</v>
      </c>
    </row>
    <row r="151" spans="6:44">
      <c r="Q151" s="168" t="s">
        <v>4448</v>
      </c>
      <c r="R151" s="168" t="s">
        <v>4466</v>
      </c>
      <c r="S151" s="168" t="s">
        <v>4468</v>
      </c>
      <c r="T151" s="168"/>
      <c r="U151" s="168" t="s">
        <v>4462</v>
      </c>
      <c r="V151" s="56" t="s">
        <v>4465</v>
      </c>
      <c r="W151" s="99"/>
      <c r="X151" s="115"/>
      <c r="Z151" s="96"/>
      <c r="AA151" s="114"/>
      <c r="AC151" s="114"/>
      <c r="AH151" s="99">
        <v>131</v>
      </c>
      <c r="AI151" s="113" t="s">
        <v>4891</v>
      </c>
      <c r="AJ151" s="113">
        <v>-3500000</v>
      </c>
      <c r="AK151" s="99">
        <v>6</v>
      </c>
      <c r="AL151" s="20">
        <f t="shared" si="35"/>
        <v>78</v>
      </c>
      <c r="AM151" s="117">
        <f t="shared" si="38"/>
        <v>-273000000</v>
      </c>
      <c r="AN151" s="20" t="s">
        <v>4894</v>
      </c>
    </row>
    <row r="152" spans="6:44">
      <c r="Q152" s="168" t="s">
        <v>751</v>
      </c>
      <c r="R152" s="56">
        <v>1748044</v>
      </c>
      <c r="S152" s="113">
        <f>R152*$T$253</f>
        <v>635745194.26170206</v>
      </c>
      <c r="T152" s="168"/>
      <c r="U152" s="168">
        <f>$Q$150*$T$150*S152/$R$176</f>
        <v>347.64576027365473</v>
      </c>
      <c r="V152" s="95">
        <f>S152+U152</f>
        <v>635745541.90746236</v>
      </c>
      <c r="W152" s="99">
        <f>R152*100/U250</f>
        <v>46.352768036487305</v>
      </c>
      <c r="X152" s="218"/>
      <c r="Z152" s="96"/>
      <c r="AA152" s="114"/>
      <c r="AC152" s="114"/>
      <c r="AD152" s="114"/>
      <c r="AH152" s="99">
        <v>132</v>
      </c>
      <c r="AI152" s="113" t="s">
        <v>4907</v>
      </c>
      <c r="AJ152" s="113">
        <v>2520000</v>
      </c>
      <c r="AK152" s="99">
        <v>12</v>
      </c>
      <c r="AL152" s="20">
        <f t="shared" si="35"/>
        <v>72</v>
      </c>
      <c r="AM152" s="117">
        <f t="shared" si="38"/>
        <v>181440000</v>
      </c>
      <c r="AN152" s="20"/>
    </row>
    <row r="153" spans="6:44">
      <c r="Q153" s="168" t="s">
        <v>4450</v>
      </c>
      <c r="R153" s="56">
        <v>1773337</v>
      </c>
      <c r="S153" s="113">
        <f>R153*$T$253</f>
        <v>644943992.00275505</v>
      </c>
      <c r="T153" s="168"/>
      <c r="U153" s="214">
        <f>$Q$150*$T$150*S153/$R$176</f>
        <v>352.6759564326768</v>
      </c>
      <c r="V153" s="95">
        <f t="shared" ref="V153:V154" si="39">S153+U153</f>
        <v>644944344.67871153</v>
      </c>
      <c r="W153" s="99">
        <f>R153*100/U250</f>
        <v>47.023460857690246</v>
      </c>
      <c r="X153" s="115"/>
      <c r="Y153" s="96"/>
      <c r="Z153" s="96"/>
      <c r="AH153" s="99">
        <v>133</v>
      </c>
      <c r="AI153" s="113" t="s">
        <v>4944</v>
      </c>
      <c r="AJ153" s="113">
        <v>1400000</v>
      </c>
      <c r="AK153" s="99">
        <v>4</v>
      </c>
      <c r="AL153" s="20">
        <f t="shared" si="35"/>
        <v>60</v>
      </c>
      <c r="AM153" s="117">
        <f t="shared" si="38"/>
        <v>84000000</v>
      </c>
      <c r="AN153" s="20"/>
    </row>
    <row r="154" spans="6:44">
      <c r="Q154" s="168" t="s">
        <v>4449</v>
      </c>
      <c r="R154" s="56">
        <v>52617</v>
      </c>
      <c r="S154" s="113">
        <f>R154*$T$253</f>
        <v>19136248.793776345</v>
      </c>
      <c r="T154" s="168"/>
      <c r="U154" s="214">
        <f>$Q$150*$T$150*S154/$R$176</f>
        <v>10.464311520945062</v>
      </c>
      <c r="V154" s="95">
        <f t="shared" si="39"/>
        <v>19136259.258087866</v>
      </c>
      <c r="W154" s="99">
        <f>R154*100/U250</f>
        <v>1.3952415361260084</v>
      </c>
      <c r="X154" s="115"/>
      <c r="Y154" s="96"/>
      <c r="Z154" s="96"/>
      <c r="AH154" s="99">
        <v>134</v>
      </c>
      <c r="AI154" s="113" t="s">
        <v>4971</v>
      </c>
      <c r="AJ154" s="113">
        <v>1550000</v>
      </c>
      <c r="AK154" s="99">
        <v>2</v>
      </c>
      <c r="AL154" s="20">
        <f t="shared" si="35"/>
        <v>56</v>
      </c>
      <c r="AM154" s="117">
        <f t="shared" si="38"/>
        <v>86800000</v>
      </c>
      <c r="AN154" s="20"/>
    </row>
    <row r="155" spans="6:44">
      <c r="Q155" s="168" t="s">
        <v>1087</v>
      </c>
      <c r="R155" s="56">
        <v>197177</v>
      </c>
      <c r="S155" s="113">
        <f>R155*$T$253</f>
        <v>71711198.441766694</v>
      </c>
      <c r="T155" s="168"/>
      <c r="U155" s="214">
        <f>$Q$150*$T$150*S155/$R$176</f>
        <v>39.213971772723347</v>
      </c>
      <c r="V155" s="95">
        <f>S155+U155</f>
        <v>71711237.655738473</v>
      </c>
      <c r="W155" s="99">
        <f>R155*100/U250</f>
        <v>5.2285295696964473</v>
      </c>
      <c r="X155" s="115"/>
      <c r="Y155" s="96"/>
      <c r="Z155" s="96"/>
      <c r="AH155" s="99">
        <v>135</v>
      </c>
      <c r="AI155" s="113" t="s">
        <v>4916</v>
      </c>
      <c r="AJ155" s="113">
        <v>250000</v>
      </c>
      <c r="AK155" s="99">
        <v>6</v>
      </c>
      <c r="AL155" s="20">
        <f t="shared" si="35"/>
        <v>54</v>
      </c>
      <c r="AM155" s="117">
        <f t="shared" si="38"/>
        <v>13500000</v>
      </c>
      <c r="AN155" s="20"/>
    </row>
    <row r="156" spans="6:44">
      <c r="P156" s="114"/>
      <c r="Q156" s="168"/>
      <c r="R156" s="56"/>
      <c r="S156" s="168"/>
      <c r="T156" s="168"/>
      <c r="U156" s="168"/>
      <c r="V156" s="168"/>
      <c r="W156" s="99"/>
      <c r="X156" s="96"/>
      <c r="Y156" s="96"/>
      <c r="Z156" s="96"/>
      <c r="AH156" s="99">
        <v>136</v>
      </c>
      <c r="AI156" s="113" t="s">
        <v>4981</v>
      </c>
      <c r="AJ156" s="113">
        <v>-48527480</v>
      </c>
      <c r="AK156" s="99">
        <v>14</v>
      </c>
      <c r="AL156" s="20">
        <f t="shared" si="35"/>
        <v>48</v>
      </c>
      <c r="AM156" s="117">
        <f t="shared" si="38"/>
        <v>-2329319040</v>
      </c>
      <c r="AN156" s="20" t="s">
        <v>4983</v>
      </c>
    </row>
    <row r="157" spans="6:44">
      <c r="P157" s="114"/>
      <c r="Q157" s="168"/>
      <c r="R157" s="168"/>
      <c r="S157" s="168"/>
      <c r="T157" s="168"/>
      <c r="U157" s="168"/>
      <c r="V157" s="168"/>
      <c r="W157" s="99"/>
      <c r="X157" s="96"/>
      <c r="Y157" s="96"/>
      <c r="Z157" s="96"/>
      <c r="AH157" s="99">
        <v>137</v>
      </c>
      <c r="AI157" s="113" t="s">
        <v>5013</v>
      </c>
      <c r="AJ157" s="113">
        <v>2100000</v>
      </c>
      <c r="AK157" s="99">
        <v>1</v>
      </c>
      <c r="AL157" s="20">
        <f t="shared" si="35"/>
        <v>34</v>
      </c>
      <c r="AM157" s="117">
        <f t="shared" si="38"/>
        <v>71400000</v>
      </c>
      <c r="AN157" s="20"/>
    </row>
    <row r="158" spans="6:44">
      <c r="P158" s="114"/>
      <c r="Q158" s="99"/>
      <c r="R158" s="99"/>
      <c r="S158" s="99"/>
      <c r="T158" s="99" t="s">
        <v>25</v>
      </c>
      <c r="U158" s="99"/>
      <c r="V158" s="99"/>
      <c r="W158" s="99"/>
      <c r="X158" s="96"/>
      <c r="Y158" s="96"/>
      <c r="Z158" s="96"/>
      <c r="AH158" s="99">
        <v>138</v>
      </c>
      <c r="AI158" s="113" t="s">
        <v>5018</v>
      </c>
      <c r="AJ158" s="113">
        <v>100000</v>
      </c>
      <c r="AK158" s="99">
        <v>4</v>
      </c>
      <c r="AL158" s="20">
        <f>AL159+AK158</f>
        <v>33</v>
      </c>
      <c r="AM158" s="117">
        <f t="shared" si="38"/>
        <v>3300000</v>
      </c>
      <c r="AN158" s="20"/>
      <c r="AQ158" t="s">
        <v>25</v>
      </c>
    </row>
    <row r="159" spans="6:44">
      <c r="Q159" s="99"/>
      <c r="R159" s="99"/>
      <c r="S159" s="99"/>
      <c r="T159" s="99"/>
      <c r="U159" s="99"/>
      <c r="V159" s="99"/>
      <c r="W159" s="99"/>
      <c r="X159" s="96"/>
      <c r="Y159" s="96"/>
      <c r="Z159" s="96"/>
      <c r="AH159" s="99">
        <v>139</v>
      </c>
      <c r="AI159" s="113" t="s">
        <v>5025</v>
      </c>
      <c r="AJ159" s="113">
        <v>900000</v>
      </c>
      <c r="AK159" s="99">
        <v>0</v>
      </c>
      <c r="AL159" s="20">
        <f t="shared" ref="AL159:AL168" si="40">AL160+AK159</f>
        <v>29</v>
      </c>
      <c r="AM159" s="117">
        <f t="shared" ref="AM159:AM168" si="41">AJ159*AL159</f>
        <v>26100000</v>
      </c>
      <c r="AN159" s="20"/>
      <c r="AP159" t="s">
        <v>25</v>
      </c>
    </row>
    <row r="160" spans="6:44">
      <c r="Q160" s="99"/>
      <c r="R160" s="99"/>
      <c r="S160" s="99"/>
      <c r="T160" s="99"/>
      <c r="U160" s="99"/>
      <c r="V160" s="99"/>
      <c r="W160" s="99"/>
      <c r="X160" s="96"/>
      <c r="Y160" s="96"/>
      <c r="AH160" s="99">
        <v>140</v>
      </c>
      <c r="AI160" s="113" t="s">
        <v>5025</v>
      </c>
      <c r="AJ160" s="113">
        <v>1100000</v>
      </c>
      <c r="AK160" s="99">
        <v>0</v>
      </c>
      <c r="AL160" s="20">
        <f t="shared" si="40"/>
        <v>29</v>
      </c>
      <c r="AM160" s="117">
        <f t="shared" si="41"/>
        <v>31900000</v>
      </c>
      <c r="AN160" s="20" t="s">
        <v>5045</v>
      </c>
      <c r="AQ160" t="s">
        <v>25</v>
      </c>
    </row>
    <row r="161" spans="15:43">
      <c r="Q161" s="96"/>
      <c r="R161" s="96"/>
      <c r="S161" s="96"/>
      <c r="T161" s="96"/>
      <c r="V161" s="96"/>
      <c r="X161" s="115"/>
      <c r="Y161" s="96"/>
      <c r="AH161" s="99">
        <v>141</v>
      </c>
      <c r="AI161" s="113" t="s">
        <v>5025</v>
      </c>
      <c r="AJ161" s="113">
        <v>115000</v>
      </c>
      <c r="AK161" s="99"/>
      <c r="AL161" s="20">
        <f t="shared" si="40"/>
        <v>29</v>
      </c>
      <c r="AM161" s="117">
        <f t="shared" si="41"/>
        <v>3335000</v>
      </c>
      <c r="AN161" s="20"/>
      <c r="AQ161" t="s">
        <v>25</v>
      </c>
    </row>
    <row r="162" spans="15:43">
      <c r="P162" s="114"/>
      <c r="Q162" s="99" t="s">
        <v>5082</v>
      </c>
      <c r="R162" s="95">
        <f>S152-R167</f>
        <v>138441171.16170204</v>
      </c>
      <c r="S162" s="96"/>
      <c r="T162" s="96"/>
      <c r="V162" s="96"/>
      <c r="Y162" s="96"/>
      <c r="AH162" s="99">
        <v>142</v>
      </c>
      <c r="AI162" s="113" t="s">
        <v>5035</v>
      </c>
      <c r="AJ162" s="113">
        <v>-1100000</v>
      </c>
      <c r="AK162" s="99"/>
      <c r="AL162" s="20">
        <f t="shared" si="40"/>
        <v>29</v>
      </c>
      <c r="AM162" s="117">
        <f t="shared" si="41"/>
        <v>-31900000</v>
      </c>
      <c r="AN162" s="20" t="s">
        <v>5046</v>
      </c>
      <c r="AQ162" t="s">
        <v>25</v>
      </c>
    </row>
    <row r="163" spans="15:43">
      <c r="Q163" s="99" t="s">
        <v>5083</v>
      </c>
      <c r="R163" s="95">
        <f>S155+S154-R168</f>
        <v>14964212.035543039</v>
      </c>
      <c r="S163" s="96"/>
      <c r="T163" s="96" t="s">
        <v>25</v>
      </c>
      <c r="V163" s="96"/>
      <c r="Y163" s="96"/>
      <c r="AH163" s="99">
        <v>143</v>
      </c>
      <c r="AI163" s="113" t="s">
        <v>5035</v>
      </c>
      <c r="AJ163" s="113">
        <v>900000</v>
      </c>
      <c r="AK163" s="99">
        <v>1</v>
      </c>
      <c r="AL163" s="20">
        <f t="shared" si="40"/>
        <v>29</v>
      </c>
      <c r="AM163" s="117">
        <f t="shared" si="41"/>
        <v>26100000</v>
      </c>
      <c r="AN163" s="20" t="s">
        <v>5045</v>
      </c>
    </row>
    <row r="164" spans="15:43">
      <c r="P164" s="114"/>
      <c r="Q164" s="96"/>
      <c r="R164" s="96"/>
      <c r="S164" s="96"/>
      <c r="T164" s="96"/>
      <c r="V164" s="96"/>
      <c r="Y164" s="96"/>
      <c r="AH164" s="99">
        <v>144</v>
      </c>
      <c r="AI164" s="113" t="s">
        <v>5043</v>
      </c>
      <c r="AJ164" s="113">
        <v>2000000</v>
      </c>
      <c r="AK164" s="99">
        <v>0</v>
      </c>
      <c r="AL164" s="20">
        <f t="shared" si="40"/>
        <v>28</v>
      </c>
      <c r="AM164" s="117">
        <f t="shared" si="41"/>
        <v>56000000</v>
      </c>
      <c r="AN164" s="20"/>
    </row>
    <row r="165" spans="15:43">
      <c r="O165" s="96"/>
      <c r="Q165" s="96"/>
      <c r="R165" s="96"/>
      <c r="S165" s="96"/>
      <c r="T165" s="99" t="s">
        <v>180</v>
      </c>
      <c r="U165" s="99" t="s">
        <v>4484</v>
      </c>
      <c r="V165" s="99" t="s">
        <v>4485</v>
      </c>
      <c r="W165" s="99" t="s">
        <v>4495</v>
      </c>
      <c r="X165" s="99" t="s">
        <v>8</v>
      </c>
      <c r="Y165" s="96"/>
      <c r="AH165" s="99">
        <v>145</v>
      </c>
      <c r="AI165" s="113" t="s">
        <v>5043</v>
      </c>
      <c r="AJ165" s="113">
        <v>360000</v>
      </c>
      <c r="AK165" s="99">
        <v>1</v>
      </c>
      <c r="AL165" s="20">
        <f t="shared" si="40"/>
        <v>28</v>
      </c>
      <c r="AM165" s="117">
        <f t="shared" si="41"/>
        <v>10080000</v>
      </c>
      <c r="AN165" s="20"/>
    </row>
    <row r="166" spans="15:43">
      <c r="O166" s="96"/>
      <c r="Q166" s="36" t="s">
        <v>4570</v>
      </c>
      <c r="R166" s="95">
        <f>SUM(N44:N50)</f>
        <v>797711035.20000005</v>
      </c>
      <c r="T166" s="113" t="s">
        <v>4460</v>
      </c>
      <c r="U166" s="56">
        <v>1000000</v>
      </c>
      <c r="V166" s="113">
        <v>239.024</v>
      </c>
      <c r="W166" s="113">
        <f t="shared" ref="W166:W248" si="42">U166*V166</f>
        <v>239024000</v>
      </c>
      <c r="X166" s="99"/>
      <c r="Y166" t="s">
        <v>25</v>
      </c>
      <c r="AH166" s="99">
        <v>146</v>
      </c>
      <c r="AI166" s="113" t="s">
        <v>5044</v>
      </c>
      <c r="AJ166" s="113">
        <v>3000000</v>
      </c>
      <c r="AK166" s="99">
        <v>1</v>
      </c>
      <c r="AL166" s="20">
        <f t="shared" si="40"/>
        <v>27</v>
      </c>
      <c r="AM166" s="117">
        <f t="shared" si="41"/>
        <v>81000000</v>
      </c>
      <c r="AN166" s="20"/>
    </row>
    <row r="167" spans="15:43">
      <c r="Q167" s="99" t="s">
        <v>4451</v>
      </c>
      <c r="R167" s="95">
        <f>SUM(N21:N25)</f>
        <v>497304023.10000002</v>
      </c>
      <c r="T167" s="168" t="s">
        <v>4442</v>
      </c>
      <c r="U167" s="56">
        <v>5904</v>
      </c>
      <c r="V167" s="113">
        <v>237.148</v>
      </c>
      <c r="W167" s="113">
        <f t="shared" si="42"/>
        <v>1400121.7919999999</v>
      </c>
      <c r="X167" s="99" t="s">
        <v>751</v>
      </c>
      <c r="AH167" s="99">
        <v>147</v>
      </c>
      <c r="AI167" s="113" t="s">
        <v>5040</v>
      </c>
      <c r="AJ167" s="113">
        <v>-658226</v>
      </c>
      <c r="AK167" s="99">
        <v>1</v>
      </c>
      <c r="AL167" s="20">
        <f t="shared" si="40"/>
        <v>26</v>
      </c>
      <c r="AM167" s="117">
        <f t="shared" si="41"/>
        <v>-17113876</v>
      </c>
      <c r="AN167" s="20"/>
    </row>
    <row r="168" spans="15:43">
      <c r="Q168" s="99" t="s">
        <v>4452</v>
      </c>
      <c r="R168" s="95">
        <f>SUM(N28:N31)</f>
        <v>75883235.200000003</v>
      </c>
      <c r="T168" s="168" t="s">
        <v>4231</v>
      </c>
      <c r="U168" s="168">
        <v>1000</v>
      </c>
      <c r="V168" s="113">
        <v>247.393</v>
      </c>
      <c r="W168" s="113">
        <f t="shared" si="42"/>
        <v>247393</v>
      </c>
      <c r="X168" s="99" t="s">
        <v>751</v>
      </c>
      <c r="Y168" t="s">
        <v>25</v>
      </c>
      <c r="AH168" s="99">
        <v>148</v>
      </c>
      <c r="AI168" s="113" t="s">
        <v>5047</v>
      </c>
      <c r="AJ168" s="113">
        <v>1000000</v>
      </c>
      <c r="AK168" s="99">
        <v>15</v>
      </c>
      <c r="AL168" s="20">
        <f t="shared" si="40"/>
        <v>25</v>
      </c>
      <c r="AM168" s="117">
        <f t="shared" si="41"/>
        <v>25000000</v>
      </c>
      <c r="AN168" s="20"/>
      <c r="AP168" t="s">
        <v>25</v>
      </c>
    </row>
    <row r="169" spans="15:43">
      <c r="Q169" s="99" t="s">
        <v>4453</v>
      </c>
      <c r="R169" s="95">
        <f>N42</f>
        <v>1000</v>
      </c>
      <c r="T169" s="168" t="s">
        <v>4496</v>
      </c>
      <c r="U169" s="168">
        <v>8071</v>
      </c>
      <c r="V169" s="113">
        <v>247.797</v>
      </c>
      <c r="W169" s="113">
        <f t="shared" si="42"/>
        <v>1999969.5870000001</v>
      </c>
      <c r="X169" s="99" t="s">
        <v>4449</v>
      </c>
      <c r="AH169" s="99">
        <v>149</v>
      </c>
      <c r="AI169" s="113" t="s">
        <v>5089</v>
      </c>
      <c r="AJ169" s="113">
        <v>1130250</v>
      </c>
      <c r="AK169" s="99">
        <v>5</v>
      </c>
      <c r="AL169" s="20">
        <f t="shared" si="35"/>
        <v>10</v>
      </c>
      <c r="AM169" s="117">
        <f t="shared" si="38"/>
        <v>11302500</v>
      </c>
      <c r="AN169" s="20"/>
    </row>
    <row r="170" spans="15:43">
      <c r="Q170" s="99" t="s">
        <v>4454</v>
      </c>
      <c r="R170" s="95">
        <f>N20</f>
        <v>1785</v>
      </c>
      <c r="T170" s="168" t="s">
        <v>4496</v>
      </c>
      <c r="U170" s="168">
        <v>53672</v>
      </c>
      <c r="V170" s="113">
        <v>247.797</v>
      </c>
      <c r="W170" s="113">
        <f t="shared" si="42"/>
        <v>13299760.584000001</v>
      </c>
      <c r="X170" s="99" t="s">
        <v>452</v>
      </c>
      <c r="Y170" t="s">
        <v>25</v>
      </c>
      <c r="AE170" s="96" t="s">
        <v>25</v>
      </c>
      <c r="AH170" s="99">
        <v>150</v>
      </c>
      <c r="AI170" s="113" t="s">
        <v>5106</v>
      </c>
      <c r="AJ170" s="113">
        <v>206000</v>
      </c>
      <c r="AK170" s="99">
        <v>2</v>
      </c>
      <c r="AL170" s="20">
        <f t="shared" si="35"/>
        <v>5</v>
      </c>
      <c r="AM170" s="117">
        <f t="shared" si="38"/>
        <v>1030000</v>
      </c>
      <c r="AN170" s="20"/>
    </row>
    <row r="171" spans="15:43">
      <c r="Q171" s="99" t="s">
        <v>4455</v>
      </c>
      <c r="R171" s="95">
        <f>N27</f>
        <v>705</v>
      </c>
      <c r="T171" s="168" t="s">
        <v>4504</v>
      </c>
      <c r="U171" s="168">
        <v>4099</v>
      </c>
      <c r="V171" s="113">
        <v>243.93</v>
      </c>
      <c r="W171" s="113">
        <f t="shared" si="42"/>
        <v>999869.07000000007</v>
      </c>
      <c r="X171" s="99" t="s">
        <v>4449</v>
      </c>
      <c r="AH171" s="99">
        <v>151</v>
      </c>
      <c r="AI171" s="113" t="s">
        <v>5120</v>
      </c>
      <c r="AJ171" s="113">
        <v>50000</v>
      </c>
      <c r="AK171" s="99">
        <v>2</v>
      </c>
      <c r="AL171" s="20">
        <f t="shared" si="35"/>
        <v>3</v>
      </c>
      <c r="AM171" s="117">
        <f t="shared" si="38"/>
        <v>150000</v>
      </c>
      <c r="AN171" s="20"/>
    </row>
    <row r="172" spans="15:43">
      <c r="Q172" s="99" t="s">
        <v>4467</v>
      </c>
      <c r="R172" s="95">
        <v>0</v>
      </c>
      <c r="T172" s="168" t="s">
        <v>4504</v>
      </c>
      <c r="U172" s="168">
        <v>9301</v>
      </c>
      <c r="V172" s="113">
        <v>243.93</v>
      </c>
      <c r="W172" s="113">
        <f t="shared" si="42"/>
        <v>2268792.9300000002</v>
      </c>
      <c r="X172" s="99" t="s">
        <v>452</v>
      </c>
      <c r="AH172" s="99">
        <v>152</v>
      </c>
      <c r="AI172" s="113" t="s">
        <v>5129</v>
      </c>
      <c r="AJ172" s="113">
        <v>105000</v>
      </c>
      <c r="AK172" s="99">
        <v>1</v>
      </c>
      <c r="AL172" s="20">
        <f t="shared" si="35"/>
        <v>1</v>
      </c>
      <c r="AM172" s="117">
        <f t="shared" si="38"/>
        <v>105000</v>
      </c>
      <c r="AN172" s="20"/>
    </row>
    <row r="173" spans="15:43">
      <c r="Q173" s="99" t="s">
        <v>4945</v>
      </c>
      <c r="R173" s="95">
        <v>0</v>
      </c>
      <c r="T173" s="168" t="s">
        <v>4510</v>
      </c>
      <c r="U173" s="168">
        <v>8334</v>
      </c>
      <c r="V173" s="113">
        <v>239.97</v>
      </c>
      <c r="W173" s="113">
        <f t="shared" si="42"/>
        <v>1999909.98</v>
      </c>
      <c r="X173" s="99" t="s">
        <v>4449</v>
      </c>
      <c r="AH173" s="99"/>
      <c r="AI173" s="113"/>
      <c r="AJ173" s="113"/>
      <c r="AK173" s="99"/>
      <c r="AL173" s="20">
        <f t="shared" si="35"/>
        <v>0</v>
      </c>
      <c r="AM173" s="117">
        <f t="shared" si="38"/>
        <v>0</v>
      </c>
      <c r="AN173" s="20"/>
    </row>
    <row r="174" spans="15:43">
      <c r="Q174" s="99" t="s">
        <v>4865</v>
      </c>
      <c r="R174" s="95">
        <v>200000</v>
      </c>
      <c r="T174" s="168" t="s">
        <v>4230</v>
      </c>
      <c r="U174" s="168">
        <v>29041</v>
      </c>
      <c r="V174" s="113">
        <v>233.45</v>
      </c>
      <c r="W174" s="113">
        <f t="shared" si="42"/>
        <v>6779621.4499999993</v>
      </c>
      <c r="X174" s="99" t="s">
        <v>751</v>
      </c>
      <c r="AH174" s="99"/>
      <c r="AI174" s="113"/>
      <c r="AJ174" s="113"/>
      <c r="AK174" s="99"/>
      <c r="AL174" s="20">
        <f t="shared" si="35"/>
        <v>0</v>
      </c>
      <c r="AM174" s="117">
        <f t="shared" si="38"/>
        <v>0</v>
      </c>
      <c r="AN174" s="20"/>
    </row>
    <row r="175" spans="15:43">
      <c r="Q175" s="99" t="s">
        <v>5116</v>
      </c>
      <c r="R175" s="95">
        <v>434850</v>
      </c>
      <c r="S175" s="115"/>
      <c r="T175" s="168" t="s">
        <v>994</v>
      </c>
      <c r="U175" s="168">
        <v>12337</v>
      </c>
      <c r="V175" s="113">
        <v>243.16300000000001</v>
      </c>
      <c r="W175" s="113">
        <f t="shared" si="42"/>
        <v>2999901.9310000003</v>
      </c>
      <c r="X175" s="99" t="s">
        <v>4449</v>
      </c>
      <c r="AH175" s="99"/>
      <c r="AI175" s="113"/>
      <c r="AJ175" s="113"/>
      <c r="AK175" s="99"/>
      <c r="AL175" s="20">
        <f t="shared" si="35"/>
        <v>0</v>
      </c>
      <c r="AM175" s="117">
        <f t="shared" si="38"/>
        <v>0</v>
      </c>
      <c r="AN175" s="20"/>
    </row>
    <row r="176" spans="15:43">
      <c r="Q176" s="99" t="s">
        <v>4459</v>
      </c>
      <c r="R176" s="95">
        <f>SUM(R166:R175)</f>
        <v>1371536633.5000002</v>
      </c>
      <c r="S176" s="122"/>
      <c r="T176" s="168" t="s">
        <v>4591</v>
      </c>
      <c r="U176" s="168">
        <v>-16118</v>
      </c>
      <c r="V176" s="113">
        <v>248.17</v>
      </c>
      <c r="W176" s="113">
        <f t="shared" si="42"/>
        <v>-4000004.0599999996</v>
      </c>
      <c r="X176" s="99" t="s">
        <v>751</v>
      </c>
      <c r="AH176" s="99"/>
      <c r="AI176" s="113"/>
      <c r="AJ176" s="113"/>
      <c r="AK176" s="99"/>
      <c r="AL176" s="20">
        <f t="shared" si="35"/>
        <v>0</v>
      </c>
      <c r="AM176" s="117">
        <f t="shared" si="38"/>
        <v>0</v>
      </c>
      <c r="AN176" s="20"/>
    </row>
    <row r="177" spans="17:44">
      <c r="Q177" s="96"/>
      <c r="S177" s="115"/>
      <c r="T177" s="168" t="s">
        <v>4619</v>
      </c>
      <c r="U177" s="168">
        <v>101681</v>
      </c>
      <c r="V177" s="113">
        <v>246.5711</v>
      </c>
      <c r="W177" s="113">
        <f t="shared" si="42"/>
        <v>25071596.019099999</v>
      </c>
      <c r="X177" s="99" t="s">
        <v>452</v>
      </c>
      <c r="AH177" s="99"/>
      <c r="AI177" s="113"/>
      <c r="AJ177" s="113"/>
      <c r="AK177" s="99"/>
      <c r="AL177" s="20">
        <f t="shared" si="35"/>
        <v>0</v>
      </c>
      <c r="AM177" s="117">
        <f t="shared" si="38"/>
        <v>0</v>
      </c>
      <c r="AN177" s="20"/>
    </row>
    <row r="178" spans="17:44">
      <c r="Q178" s="96"/>
      <c r="R178" s="182"/>
      <c r="S178" s="115"/>
      <c r="T178" s="168" t="s">
        <v>4623</v>
      </c>
      <c r="U178" s="168">
        <v>66606</v>
      </c>
      <c r="V178" s="113">
        <v>251.131</v>
      </c>
      <c r="W178" s="113">
        <f t="shared" si="42"/>
        <v>16726831.386</v>
      </c>
      <c r="X178" s="99" t="s">
        <v>751</v>
      </c>
      <c r="AH178" s="99"/>
      <c r="AI178" s="113"/>
      <c r="AJ178" s="113"/>
      <c r="AK178" s="99"/>
      <c r="AL178" s="20">
        <f t="shared" si="35"/>
        <v>0</v>
      </c>
      <c r="AM178" s="117">
        <f t="shared" si="38"/>
        <v>0</v>
      </c>
      <c r="AN178" s="20"/>
    </row>
    <row r="179" spans="17:44">
      <c r="Q179" s="96"/>
      <c r="R179" s="182"/>
      <c r="T179" s="168" t="s">
        <v>4628</v>
      </c>
      <c r="U179" s="168">
        <v>172025</v>
      </c>
      <c r="V179" s="113">
        <v>245.52809999999999</v>
      </c>
      <c r="W179" s="113">
        <f t="shared" si="42"/>
        <v>42236971.402499996</v>
      </c>
      <c r="X179" s="99" t="s">
        <v>452</v>
      </c>
      <c r="Y179" t="s">
        <v>25</v>
      </c>
      <c r="AH179" s="99"/>
      <c r="AI179" s="113"/>
      <c r="AJ179" s="113"/>
      <c r="AK179" s="99"/>
      <c r="AL179" s="99">
        <f t="shared" si="35"/>
        <v>0</v>
      </c>
      <c r="AM179" s="117">
        <f t="shared" si="38"/>
        <v>0</v>
      </c>
      <c r="AN179" s="99"/>
    </row>
    <row r="180" spans="17:44">
      <c r="Q180" s="96"/>
      <c r="R180" s="115"/>
      <c r="T180" s="168" t="s">
        <v>4628</v>
      </c>
      <c r="U180" s="168">
        <v>189227</v>
      </c>
      <c r="V180" s="113">
        <v>245.52809999999999</v>
      </c>
      <c r="W180" s="113">
        <f t="shared" si="42"/>
        <v>46460545.778700002</v>
      </c>
      <c r="X180" s="99" t="s">
        <v>751</v>
      </c>
      <c r="AH180" s="99"/>
      <c r="AI180" s="99"/>
      <c r="AJ180" s="95">
        <f>SUM(AJ20:AJ179)</f>
        <v>542544657</v>
      </c>
      <c r="AK180" s="99"/>
      <c r="AL180" s="99"/>
      <c r="AM180" s="95">
        <f>SUM(AM20:AM179)</f>
        <v>113720351547</v>
      </c>
      <c r="AN180" s="95">
        <f>AM180*AN183/31</f>
        <v>61141196.749479003</v>
      </c>
    </row>
    <row r="181" spans="17:44">
      <c r="T181" s="168" t="s">
        <v>4630</v>
      </c>
      <c r="U181" s="168">
        <v>79720</v>
      </c>
      <c r="V181" s="113">
        <v>246.6568</v>
      </c>
      <c r="W181" s="113">
        <f t="shared" si="42"/>
        <v>19663480.096000001</v>
      </c>
      <c r="X181" s="99" t="s">
        <v>452</v>
      </c>
      <c r="Y181" t="s">
        <v>25</v>
      </c>
      <c r="AH181" s="99"/>
      <c r="AI181" s="99"/>
      <c r="AJ181" s="99" t="s">
        <v>4059</v>
      </c>
      <c r="AK181" s="99"/>
      <c r="AL181" s="99"/>
      <c r="AM181" s="99" t="s">
        <v>284</v>
      </c>
      <c r="AN181" s="99" t="s">
        <v>943</v>
      </c>
    </row>
    <row r="182" spans="17:44">
      <c r="Q182" s="99" t="s">
        <v>8</v>
      </c>
      <c r="R182" s="99" t="s">
        <v>4449</v>
      </c>
      <c r="S182" s="99"/>
      <c r="T182" s="168" t="s">
        <v>4630</v>
      </c>
      <c r="U182" s="168">
        <v>79720</v>
      </c>
      <c r="V182" s="113">
        <v>246.6568</v>
      </c>
      <c r="W182" s="113">
        <f t="shared" si="42"/>
        <v>19663480.096000001</v>
      </c>
      <c r="X182" s="99" t="s">
        <v>751</v>
      </c>
      <c r="Y182" t="s">
        <v>25</v>
      </c>
      <c r="AH182" s="99"/>
      <c r="AI182" s="99"/>
      <c r="AJ182" s="99"/>
      <c r="AK182" s="99"/>
      <c r="AL182" s="99"/>
      <c r="AM182" s="99"/>
      <c r="AN182" s="99"/>
    </row>
    <row r="183" spans="17:44">
      <c r="Q183" s="99"/>
      <c r="R183" s="36" t="s">
        <v>180</v>
      </c>
      <c r="S183" s="99" t="s">
        <v>267</v>
      </c>
      <c r="T183" s="168" t="s">
        <v>4655</v>
      </c>
      <c r="U183" s="168">
        <v>17769</v>
      </c>
      <c r="V183" s="113">
        <v>246.17877999999999</v>
      </c>
      <c r="W183" s="113">
        <f t="shared" si="42"/>
        <v>4374350.7418200001</v>
      </c>
      <c r="X183" s="99" t="s">
        <v>751</v>
      </c>
      <c r="AH183" s="99"/>
      <c r="AI183" s="99"/>
      <c r="AJ183" s="99"/>
      <c r="AK183" s="99"/>
      <c r="AL183" s="99"/>
      <c r="AM183" s="99" t="s">
        <v>4060</v>
      </c>
      <c r="AN183" s="99">
        <v>1.6667000000000001E-2</v>
      </c>
    </row>
    <row r="184" spans="17:44">
      <c r="Q184" s="99"/>
      <c r="R184" s="99" t="s">
        <v>4442</v>
      </c>
      <c r="S184" s="95">
        <v>3000000</v>
      </c>
      <c r="T184" s="168" t="s">
        <v>4655</v>
      </c>
      <c r="U184" s="168">
        <v>17769</v>
      </c>
      <c r="V184" s="113">
        <v>246.17877999999999</v>
      </c>
      <c r="W184" s="113">
        <f t="shared" si="42"/>
        <v>4374350.7418200001</v>
      </c>
      <c r="X184" s="99" t="s">
        <v>452</v>
      </c>
      <c r="AH184" s="99"/>
      <c r="AI184" s="99"/>
      <c r="AJ184" s="99"/>
      <c r="AK184" s="99"/>
      <c r="AL184" s="99"/>
      <c r="AM184" s="99"/>
      <c r="AN184" s="99"/>
      <c r="AR184" t="s">
        <v>25</v>
      </c>
    </row>
    <row r="185" spans="17:44">
      <c r="Q185" s="99"/>
      <c r="R185" s="99" t="s">
        <v>4496</v>
      </c>
      <c r="S185" s="95">
        <v>2000000</v>
      </c>
      <c r="T185" s="168" t="s">
        <v>4659</v>
      </c>
      <c r="U185" s="168">
        <v>12438</v>
      </c>
      <c r="V185" s="113">
        <v>241.20465999999999</v>
      </c>
      <c r="W185" s="113">
        <f t="shared" si="42"/>
        <v>3000103.5610799999</v>
      </c>
      <c r="X185" s="99" t="s">
        <v>4449</v>
      </c>
      <c r="AH185" s="99"/>
      <c r="AI185" s="99" t="s">
        <v>4061</v>
      </c>
      <c r="AJ185" s="95">
        <f>AJ180+AN180</f>
        <v>603685853.74947906</v>
      </c>
      <c r="AK185" s="99"/>
      <c r="AL185" s="99"/>
      <c r="AM185" s="99"/>
      <c r="AN185" s="99"/>
    </row>
    <row r="186" spans="17:44">
      <c r="Q186" s="99"/>
      <c r="R186" s="99" t="s">
        <v>4504</v>
      </c>
      <c r="S186" s="95">
        <v>1000000</v>
      </c>
      <c r="T186" s="168" t="s">
        <v>4668</v>
      </c>
      <c r="U186" s="168">
        <v>27363</v>
      </c>
      <c r="V186" s="113">
        <v>239.3886</v>
      </c>
      <c r="W186" s="113">
        <f t="shared" si="42"/>
        <v>6550390.2617999995</v>
      </c>
      <c r="X186" s="99" t="s">
        <v>751</v>
      </c>
      <c r="AI186" t="s">
        <v>4064</v>
      </c>
      <c r="AJ186" s="114">
        <f>SUM(N42:N50)</f>
        <v>797712035.20000005</v>
      </c>
    </row>
    <row r="187" spans="17:44">
      <c r="Q187" s="99"/>
      <c r="R187" s="99" t="s">
        <v>4510</v>
      </c>
      <c r="S187" s="95">
        <v>2000000</v>
      </c>
      <c r="T187" s="168" t="s">
        <v>4668</v>
      </c>
      <c r="U187" s="168">
        <v>27363</v>
      </c>
      <c r="V187" s="113">
        <v>239.3886</v>
      </c>
      <c r="W187" s="113">
        <f t="shared" si="42"/>
        <v>6550390.2617999995</v>
      </c>
      <c r="X187" s="99" t="s">
        <v>452</v>
      </c>
      <c r="Z187" t="s">
        <v>25</v>
      </c>
      <c r="AI187" t="s">
        <v>4136</v>
      </c>
      <c r="AJ187" s="114">
        <f>AJ186-AJ180</f>
        <v>255167378.20000005</v>
      </c>
      <c r="AM187" t="s">
        <v>25</v>
      </c>
    </row>
    <row r="188" spans="17:44">
      <c r="Q188" s="99"/>
      <c r="R188" s="99" t="s">
        <v>994</v>
      </c>
      <c r="S188" s="95">
        <v>3000000</v>
      </c>
      <c r="T188" s="211" t="s">
        <v>4670</v>
      </c>
      <c r="U188" s="211">
        <v>27437</v>
      </c>
      <c r="V188" s="113">
        <v>242.4015</v>
      </c>
      <c r="W188" s="113">
        <f t="shared" si="42"/>
        <v>6650769.9555000002</v>
      </c>
      <c r="X188" s="99" t="s">
        <v>751</v>
      </c>
      <c r="AI188" t="s">
        <v>943</v>
      </c>
      <c r="AJ188" s="114">
        <f>AN180</f>
        <v>61141196.749479003</v>
      </c>
      <c r="AN188" t="s">
        <v>25</v>
      </c>
    </row>
    <row r="189" spans="17:44">
      <c r="Q189" s="99"/>
      <c r="R189" s="99" t="s">
        <v>4659</v>
      </c>
      <c r="S189" s="95">
        <v>3000000</v>
      </c>
      <c r="T189" s="211" t="s">
        <v>4670</v>
      </c>
      <c r="U189" s="211">
        <v>29104</v>
      </c>
      <c r="V189" s="113">
        <v>242.4015</v>
      </c>
      <c r="W189" s="113">
        <f t="shared" si="42"/>
        <v>7054853.2560000001</v>
      </c>
      <c r="X189" s="99" t="s">
        <v>452</v>
      </c>
      <c r="AI189" t="s">
        <v>4065</v>
      </c>
      <c r="AJ189" s="114">
        <f>AJ186-AJ185</f>
        <v>194026181.45052099</v>
      </c>
      <c r="AN189" t="s">
        <v>25</v>
      </c>
    </row>
    <row r="190" spans="17:44">
      <c r="Q190" s="99" t="s">
        <v>4854</v>
      </c>
      <c r="R190" s="99" t="s">
        <v>4849</v>
      </c>
      <c r="S190" s="95">
        <v>-800000</v>
      </c>
      <c r="T190" s="214" t="s">
        <v>4694</v>
      </c>
      <c r="U190" s="214">
        <v>8991</v>
      </c>
      <c r="V190" s="113">
        <v>238.64867000000001</v>
      </c>
      <c r="W190" s="113">
        <f t="shared" si="42"/>
        <v>2145690.19197</v>
      </c>
      <c r="X190" s="99" t="s">
        <v>751</v>
      </c>
      <c r="AM190" t="s">
        <v>25</v>
      </c>
    </row>
    <row r="191" spans="17:44">
      <c r="Q191" s="99" t="s">
        <v>4855</v>
      </c>
      <c r="R191" s="99" t="s">
        <v>4849</v>
      </c>
      <c r="S191" s="95">
        <v>-900000</v>
      </c>
      <c r="T191" s="214" t="s">
        <v>4694</v>
      </c>
      <c r="U191" s="214">
        <v>8991</v>
      </c>
      <c r="V191" s="113">
        <v>238.64867000000001</v>
      </c>
      <c r="W191" s="113">
        <f t="shared" si="42"/>
        <v>2145690.19197</v>
      </c>
      <c r="X191" s="99" t="s">
        <v>452</v>
      </c>
      <c r="Y191" t="s">
        <v>25</v>
      </c>
      <c r="AJ191" t="s">
        <v>25</v>
      </c>
    </row>
    <row r="192" spans="17:44">
      <c r="Q192" s="99" t="s">
        <v>4855</v>
      </c>
      <c r="R192" s="99" t="s">
        <v>981</v>
      </c>
      <c r="S192" s="95">
        <v>-1100000</v>
      </c>
      <c r="T192" s="214" t="s">
        <v>4706</v>
      </c>
      <c r="U192" s="214">
        <v>18170</v>
      </c>
      <c r="V192" s="113">
        <v>240.48475999999999</v>
      </c>
      <c r="W192" s="113">
        <f t="shared" si="42"/>
        <v>4369608.0892000003</v>
      </c>
      <c r="X192" s="99" t="s">
        <v>751</v>
      </c>
    </row>
    <row r="193" spans="15:44">
      <c r="Q193" s="196" t="s">
        <v>1087</v>
      </c>
      <c r="R193" s="196" t="s">
        <v>4880</v>
      </c>
      <c r="S193" s="243">
        <v>30000000</v>
      </c>
      <c r="T193" s="214" t="s">
        <v>4706</v>
      </c>
      <c r="U193" s="214">
        <v>18170</v>
      </c>
      <c r="V193" s="113">
        <v>240.48475999999999</v>
      </c>
      <c r="W193" s="113">
        <f t="shared" si="42"/>
        <v>4369608.0892000003</v>
      </c>
      <c r="X193" s="99" t="s">
        <v>452</v>
      </c>
    </row>
    <row r="194" spans="15:44">
      <c r="Q194" s="20" t="s">
        <v>4975</v>
      </c>
      <c r="R194" s="20" t="s">
        <v>4973</v>
      </c>
      <c r="S194" s="248">
        <v>2000000</v>
      </c>
      <c r="T194" s="214" t="s">
        <v>4708</v>
      </c>
      <c r="U194" s="214">
        <v>36797</v>
      </c>
      <c r="V194" s="113">
        <v>239.0822</v>
      </c>
      <c r="W194" s="113">
        <f t="shared" si="42"/>
        <v>8797507.7134000007</v>
      </c>
      <c r="X194" s="99" t="s">
        <v>751</v>
      </c>
    </row>
    <row r="195" spans="15:44">
      <c r="Q195" s="149" t="s">
        <v>5005</v>
      </c>
      <c r="R195" s="149" t="s">
        <v>5004</v>
      </c>
      <c r="S195" s="150">
        <v>480105</v>
      </c>
      <c r="T195" s="214" t="s">
        <v>4708</v>
      </c>
      <c r="U195" s="214">
        <v>36797</v>
      </c>
      <c r="V195" s="113">
        <v>239.0822</v>
      </c>
      <c r="W195" s="113">
        <f t="shared" si="42"/>
        <v>8797507.7134000007</v>
      </c>
      <c r="X195" s="99" t="s">
        <v>452</v>
      </c>
    </row>
    <row r="196" spans="15:44">
      <c r="Q196" s="149"/>
      <c r="R196" s="149" t="s">
        <v>5062</v>
      </c>
      <c r="S196" s="150">
        <v>30500000</v>
      </c>
      <c r="T196" s="214" t="s">
        <v>4717</v>
      </c>
      <c r="U196" s="214">
        <v>28066</v>
      </c>
      <c r="V196" s="113">
        <v>237.56970000000001</v>
      </c>
      <c r="W196" s="113">
        <f t="shared" si="42"/>
        <v>6667631.2002000008</v>
      </c>
      <c r="X196" s="99" t="s">
        <v>751</v>
      </c>
      <c r="AH196" s="99" t="s">
        <v>3641</v>
      </c>
      <c r="AI196" s="99" t="s">
        <v>180</v>
      </c>
      <c r="AJ196" s="99" t="s">
        <v>267</v>
      </c>
      <c r="AK196" s="99" t="s">
        <v>4058</v>
      </c>
      <c r="AL196" s="99" t="s">
        <v>4050</v>
      </c>
      <c r="AM196" s="99" t="s">
        <v>282</v>
      </c>
      <c r="AN196" s="99" t="s">
        <v>4292</v>
      </c>
    </row>
    <row r="197" spans="15:44">
      <c r="Q197" s="20" t="s">
        <v>5115</v>
      </c>
      <c r="R197" s="20" t="s">
        <v>5106</v>
      </c>
      <c r="S197" s="248">
        <v>-400000</v>
      </c>
      <c r="T197" s="214" t="s">
        <v>4717</v>
      </c>
      <c r="U197" s="214">
        <v>28066</v>
      </c>
      <c r="V197" s="113">
        <v>237.56970000000001</v>
      </c>
      <c r="W197" s="113">
        <f t="shared" si="42"/>
        <v>6667631.2002000008</v>
      </c>
      <c r="X197" s="99" t="s">
        <v>452</v>
      </c>
      <c r="Y197" t="s">
        <v>25</v>
      </c>
      <c r="AH197" s="99">
        <v>1</v>
      </c>
      <c r="AI197" s="99" t="s">
        <v>3949</v>
      </c>
      <c r="AJ197" s="117">
        <v>3555820</v>
      </c>
      <c r="AK197" s="99">
        <v>2</v>
      </c>
      <c r="AL197" s="99">
        <f>AK197+AL198</f>
        <v>342</v>
      </c>
      <c r="AM197" s="99">
        <f>AJ197*AL197</f>
        <v>1216090440</v>
      </c>
      <c r="AN197" s="99" t="s">
        <v>4312</v>
      </c>
    </row>
    <row r="198" spans="15:44">
      <c r="Q198" s="99"/>
      <c r="R198" s="99"/>
      <c r="S198" s="95"/>
      <c r="T198" s="214" t="s">
        <v>3684</v>
      </c>
      <c r="U198" s="214">
        <v>37457</v>
      </c>
      <c r="V198" s="113">
        <v>239.77</v>
      </c>
      <c r="W198" s="113">
        <f t="shared" si="42"/>
        <v>8981064.8900000006</v>
      </c>
      <c r="X198" s="99" t="s">
        <v>751</v>
      </c>
      <c r="AH198" s="99">
        <v>2</v>
      </c>
      <c r="AI198" s="99" t="s">
        <v>4024</v>
      </c>
      <c r="AJ198" s="117">
        <v>1720837</v>
      </c>
      <c r="AK198" s="99">
        <v>51</v>
      </c>
      <c r="AL198" s="99">
        <f t="shared" ref="AL198:AL207" si="43">AK198+AL199</f>
        <v>340</v>
      </c>
      <c r="AM198" s="99">
        <f t="shared" ref="AM198:AM226" si="44">AJ198*AL198</f>
        <v>585084580</v>
      </c>
      <c r="AN198" s="99" t="s">
        <v>4313</v>
      </c>
    </row>
    <row r="199" spans="15:44">
      <c r="O199" t="s">
        <v>25</v>
      </c>
      <c r="Q199" s="99"/>
      <c r="R199" s="99"/>
      <c r="S199" s="95">
        <f>SUM(S184:S198)</f>
        <v>73780105</v>
      </c>
      <c r="T199" s="214" t="s">
        <v>3684</v>
      </c>
      <c r="U199" s="214">
        <v>37457</v>
      </c>
      <c r="V199" s="113">
        <v>239.77</v>
      </c>
      <c r="W199" s="113">
        <f t="shared" si="42"/>
        <v>8981064.8900000006</v>
      </c>
      <c r="X199" s="99" t="s">
        <v>452</v>
      </c>
      <c r="AH199" s="99">
        <v>3</v>
      </c>
      <c r="AI199" s="99" t="s">
        <v>4130</v>
      </c>
      <c r="AJ199" s="117">
        <v>150000</v>
      </c>
      <c r="AK199" s="99">
        <v>3</v>
      </c>
      <c r="AL199" s="99">
        <f t="shared" si="43"/>
        <v>289</v>
      </c>
      <c r="AM199" s="99">
        <f t="shared" si="44"/>
        <v>43350000</v>
      </c>
      <c r="AN199" s="99"/>
    </row>
    <row r="200" spans="15:44">
      <c r="Q200" s="99"/>
      <c r="R200" s="99"/>
      <c r="S200" s="99" t="s">
        <v>6</v>
      </c>
      <c r="T200" s="214" t="s">
        <v>4730</v>
      </c>
      <c r="U200" s="214">
        <v>38412</v>
      </c>
      <c r="V200" s="113">
        <v>239.03</v>
      </c>
      <c r="W200" s="113">
        <f t="shared" si="42"/>
        <v>9181620.3599999994</v>
      </c>
      <c r="X200" s="99" t="s">
        <v>751</v>
      </c>
      <c r="AH200" s="99">
        <v>4</v>
      </c>
      <c r="AI200" s="99" t="s">
        <v>4145</v>
      </c>
      <c r="AJ200" s="117">
        <v>-95000</v>
      </c>
      <c r="AK200" s="99">
        <v>8</v>
      </c>
      <c r="AL200" s="99">
        <f t="shared" si="43"/>
        <v>286</v>
      </c>
      <c r="AM200" s="99">
        <f t="shared" si="44"/>
        <v>-27170000</v>
      </c>
      <c r="AN200" s="99"/>
    </row>
    <row r="201" spans="15:44">
      <c r="T201" s="214" t="s">
        <v>4730</v>
      </c>
      <c r="U201" s="214">
        <v>38412</v>
      </c>
      <c r="V201" s="113">
        <v>239.03</v>
      </c>
      <c r="W201" s="113">
        <f t="shared" si="42"/>
        <v>9181620.3599999994</v>
      </c>
      <c r="X201" s="99" t="s">
        <v>452</v>
      </c>
      <c r="AH201" s="99">
        <v>5</v>
      </c>
      <c r="AI201" s="99" t="s">
        <v>4172</v>
      </c>
      <c r="AJ201" s="117">
        <v>3150000</v>
      </c>
      <c r="AK201" s="99">
        <v>16</v>
      </c>
      <c r="AL201" s="99">
        <f t="shared" si="43"/>
        <v>278</v>
      </c>
      <c r="AM201" s="99">
        <f t="shared" si="44"/>
        <v>875700000</v>
      </c>
      <c r="AN201" s="99"/>
      <c r="AQ201" t="s">
        <v>25</v>
      </c>
    </row>
    <row r="202" spans="15:44">
      <c r="Q202" s="96"/>
      <c r="R202" s="96" t="s">
        <v>25</v>
      </c>
      <c r="T202" s="214" t="s">
        <v>4734</v>
      </c>
      <c r="U202" s="214">
        <v>49555</v>
      </c>
      <c r="V202" s="113">
        <v>238.345</v>
      </c>
      <c r="W202" s="113">
        <f t="shared" si="42"/>
        <v>11811186.475</v>
      </c>
      <c r="X202" s="99" t="s">
        <v>751</v>
      </c>
      <c r="AH202" s="99">
        <v>6</v>
      </c>
      <c r="AI202" s="99" t="s">
        <v>4240</v>
      </c>
      <c r="AJ202" s="117">
        <v>-65000</v>
      </c>
      <c r="AK202" s="99">
        <v>1</v>
      </c>
      <c r="AL202" s="99">
        <f t="shared" si="43"/>
        <v>262</v>
      </c>
      <c r="AM202" s="99">
        <f t="shared" si="44"/>
        <v>-17030000</v>
      </c>
      <c r="AN202" s="99"/>
    </row>
    <row r="203" spans="15:44">
      <c r="Q203" s="96"/>
      <c r="R203" s="96" t="s">
        <v>25</v>
      </c>
      <c r="T203" s="214" t="s">
        <v>4734</v>
      </c>
      <c r="U203" s="214">
        <v>49555</v>
      </c>
      <c r="V203" s="113">
        <v>238.345</v>
      </c>
      <c r="W203" s="113">
        <f t="shared" si="42"/>
        <v>11811186.475</v>
      </c>
      <c r="X203" s="99" t="s">
        <v>452</v>
      </c>
      <c r="AH203" s="99">
        <v>7</v>
      </c>
      <c r="AI203" s="99" t="s">
        <v>4314</v>
      </c>
      <c r="AJ203" s="117">
        <v>-95000</v>
      </c>
      <c r="AK203" s="99">
        <v>6</v>
      </c>
      <c r="AL203" s="99">
        <f t="shared" si="43"/>
        <v>261</v>
      </c>
      <c r="AM203" s="99">
        <f t="shared" si="44"/>
        <v>-24795000</v>
      </c>
      <c r="AN203" s="99"/>
    </row>
    <row r="204" spans="15:44">
      <c r="T204" s="214" t="s">
        <v>4748</v>
      </c>
      <c r="U204" s="214">
        <v>160187</v>
      </c>
      <c r="V204" s="113">
        <v>257.49799999999999</v>
      </c>
      <c r="W204" s="113">
        <f t="shared" si="42"/>
        <v>41247832.126000002</v>
      </c>
      <c r="X204" s="99" t="s">
        <v>751</v>
      </c>
      <c r="AH204" s="99">
        <v>8</v>
      </c>
      <c r="AI204" s="99" t="s">
        <v>4315</v>
      </c>
      <c r="AJ204" s="117">
        <v>232000</v>
      </c>
      <c r="AK204" s="99">
        <v>7</v>
      </c>
      <c r="AL204" s="99">
        <f t="shared" si="43"/>
        <v>255</v>
      </c>
      <c r="AM204" s="99">
        <f t="shared" si="44"/>
        <v>59160000</v>
      </c>
      <c r="AN204" s="99"/>
      <c r="AR204" t="s">
        <v>25</v>
      </c>
    </row>
    <row r="205" spans="15:44">
      <c r="Q205" s="99" t="s">
        <v>751</v>
      </c>
      <c r="R205" s="99"/>
      <c r="T205" s="214" t="s">
        <v>4748</v>
      </c>
      <c r="U205" s="214">
        <v>160187</v>
      </c>
      <c r="V205" s="113">
        <v>257.49799999999999</v>
      </c>
      <c r="W205" s="113">
        <f t="shared" si="42"/>
        <v>41247832.126000002</v>
      </c>
      <c r="X205" s="99" t="s">
        <v>452</v>
      </c>
      <c r="AH205" s="99">
        <v>9</v>
      </c>
      <c r="AI205" s="99" t="s">
        <v>4291</v>
      </c>
      <c r="AJ205" s="117">
        <v>13000000</v>
      </c>
      <c r="AK205" s="99">
        <v>2</v>
      </c>
      <c r="AL205" s="99">
        <f t="shared" si="43"/>
        <v>248</v>
      </c>
      <c r="AM205" s="99">
        <f t="shared" si="44"/>
        <v>3224000000</v>
      </c>
      <c r="AN205" s="99"/>
    </row>
    <row r="206" spans="15:44">
      <c r="Q206" s="99" t="s">
        <v>4442</v>
      </c>
      <c r="R206" s="95">
        <v>172908000</v>
      </c>
      <c r="T206" s="214" t="s">
        <v>4756</v>
      </c>
      <c r="U206" s="214">
        <v>144401</v>
      </c>
      <c r="V206" s="113">
        <v>258.5061</v>
      </c>
      <c r="W206" s="113">
        <f t="shared" si="42"/>
        <v>37328539.346100003</v>
      </c>
      <c r="X206" s="99" t="s">
        <v>751</v>
      </c>
      <c r="AH206" s="99">
        <v>10</v>
      </c>
      <c r="AI206" s="99" t="s">
        <v>4316</v>
      </c>
      <c r="AJ206" s="117">
        <v>10000000</v>
      </c>
      <c r="AK206" s="99">
        <v>3</v>
      </c>
      <c r="AL206" s="99">
        <f t="shared" si="43"/>
        <v>246</v>
      </c>
      <c r="AM206" s="99">
        <f t="shared" si="44"/>
        <v>2460000000</v>
      </c>
      <c r="AN206" s="99"/>
    </row>
    <row r="207" spans="15:44">
      <c r="Q207" s="99" t="s">
        <v>4483</v>
      </c>
      <c r="R207" s="95">
        <v>1400000</v>
      </c>
      <c r="T207" s="214" t="s">
        <v>4756</v>
      </c>
      <c r="U207" s="214">
        <v>144401</v>
      </c>
      <c r="V207" s="113">
        <v>258.5061</v>
      </c>
      <c r="W207" s="113">
        <f t="shared" si="42"/>
        <v>37328539.346100003</v>
      </c>
      <c r="X207" s="99" t="s">
        <v>452</v>
      </c>
      <c r="AH207" s="99">
        <v>11</v>
      </c>
      <c r="AI207" s="99" t="s">
        <v>4304</v>
      </c>
      <c r="AJ207" s="117">
        <v>3400000</v>
      </c>
      <c r="AK207" s="99">
        <v>9</v>
      </c>
      <c r="AL207" s="99">
        <f t="shared" si="43"/>
        <v>243</v>
      </c>
      <c r="AM207" s="99">
        <f t="shared" si="44"/>
        <v>826200000</v>
      </c>
      <c r="AN207" s="99"/>
      <c r="AR207" t="s">
        <v>25</v>
      </c>
    </row>
    <row r="208" spans="15:44">
      <c r="Q208" s="99" t="s">
        <v>4231</v>
      </c>
      <c r="R208" s="95">
        <v>247393</v>
      </c>
      <c r="S208" t="s">
        <v>25</v>
      </c>
      <c r="T208" s="168" t="s">
        <v>4764</v>
      </c>
      <c r="U208" s="168">
        <v>196500</v>
      </c>
      <c r="V208" s="113">
        <v>254.452</v>
      </c>
      <c r="W208" s="113">
        <f t="shared" si="42"/>
        <v>49999818</v>
      </c>
      <c r="X208" s="99" t="s">
        <v>4768</v>
      </c>
      <c r="AH208" s="99">
        <v>12</v>
      </c>
      <c r="AI208" s="99" t="s">
        <v>4346</v>
      </c>
      <c r="AJ208" s="117">
        <v>-8736514</v>
      </c>
      <c r="AK208" s="99">
        <v>1</v>
      </c>
      <c r="AL208" s="99">
        <f>AK208+AL209</f>
        <v>234</v>
      </c>
      <c r="AM208" s="99">
        <f t="shared" si="44"/>
        <v>-2044344276</v>
      </c>
      <c r="AN208" s="99"/>
    </row>
    <row r="209" spans="17:45">
      <c r="Q209" s="99" t="s">
        <v>4230</v>
      </c>
      <c r="R209" s="95">
        <v>6780000</v>
      </c>
      <c r="T209" s="214" t="s">
        <v>4764</v>
      </c>
      <c r="U209" s="214">
        <v>2561</v>
      </c>
      <c r="V209" s="113">
        <v>254.536</v>
      </c>
      <c r="W209" s="113">
        <f t="shared" si="42"/>
        <v>651866.696</v>
      </c>
      <c r="X209" s="99" t="s">
        <v>4769</v>
      </c>
      <c r="AH209" s="99">
        <v>13</v>
      </c>
      <c r="AI209" s="99" t="s">
        <v>4347</v>
      </c>
      <c r="AJ209" s="117">
        <v>555000</v>
      </c>
      <c r="AK209" s="99">
        <v>5</v>
      </c>
      <c r="AL209" s="99">
        <f t="shared" ref="AL209:AL225" si="45">AK209+AL210</f>
        <v>233</v>
      </c>
      <c r="AM209" s="99">
        <f t="shared" si="44"/>
        <v>129315000</v>
      </c>
      <c r="AN209" s="99"/>
      <c r="AP209" t="s">
        <v>25</v>
      </c>
    </row>
    <row r="210" spans="17:45">
      <c r="Q210" s="99" t="s">
        <v>4591</v>
      </c>
      <c r="R210" s="95">
        <v>-4000000</v>
      </c>
      <c r="T210" s="214" t="s">
        <v>4815</v>
      </c>
      <c r="U210" s="214">
        <v>-11795</v>
      </c>
      <c r="V210" s="113">
        <v>254.334</v>
      </c>
      <c r="W210" s="113">
        <f t="shared" si="42"/>
        <v>-2999869.5300000003</v>
      </c>
      <c r="X210" s="99" t="s">
        <v>4816</v>
      </c>
      <c r="Z210" t="s">
        <v>25</v>
      </c>
      <c r="AH210" s="99">
        <v>14</v>
      </c>
      <c r="AI210" s="99" t="s">
        <v>4371</v>
      </c>
      <c r="AJ210" s="117">
        <v>-448308</v>
      </c>
      <c r="AK210" s="99">
        <v>6</v>
      </c>
      <c r="AL210" s="99">
        <f t="shared" si="45"/>
        <v>228</v>
      </c>
      <c r="AM210" s="99">
        <f t="shared" si="44"/>
        <v>-102214224</v>
      </c>
      <c r="AN210" s="99"/>
    </row>
    <row r="211" spans="17:45">
      <c r="Q211" s="99" t="s">
        <v>4623</v>
      </c>
      <c r="R211" s="95">
        <v>16727037</v>
      </c>
      <c r="T211" s="214" t="s">
        <v>4815</v>
      </c>
      <c r="U211" s="214">
        <v>11795</v>
      </c>
      <c r="V211" s="113">
        <v>254.334</v>
      </c>
      <c r="W211" s="113">
        <f t="shared" si="42"/>
        <v>2999869.5300000003</v>
      </c>
      <c r="X211" s="99" t="s">
        <v>4817</v>
      </c>
      <c r="AH211" s="99">
        <v>15</v>
      </c>
      <c r="AI211" s="99" t="s">
        <v>4402</v>
      </c>
      <c r="AJ211" s="117">
        <v>33225</v>
      </c>
      <c r="AK211" s="99">
        <v>0</v>
      </c>
      <c r="AL211" s="99">
        <f t="shared" si="45"/>
        <v>222</v>
      </c>
      <c r="AM211" s="99">
        <f t="shared" si="44"/>
        <v>7375950</v>
      </c>
      <c r="AN211" s="99"/>
    </row>
    <row r="212" spans="17:45">
      <c r="Q212" s="99" t="s">
        <v>4628</v>
      </c>
      <c r="R212" s="95">
        <v>46460683</v>
      </c>
      <c r="S212" t="s">
        <v>25</v>
      </c>
      <c r="T212" s="214" t="s">
        <v>4830</v>
      </c>
      <c r="U212" s="214">
        <v>260</v>
      </c>
      <c r="V212" s="113">
        <v>263.19</v>
      </c>
      <c r="W212" s="113">
        <f t="shared" si="42"/>
        <v>68429.399999999994</v>
      </c>
      <c r="X212" s="99" t="s">
        <v>452</v>
      </c>
      <c r="AH212" s="149">
        <v>16</v>
      </c>
      <c r="AI212" s="149" t="s">
        <v>4402</v>
      </c>
      <c r="AJ212" s="189">
        <v>4098523</v>
      </c>
      <c r="AK212" s="149">
        <v>2</v>
      </c>
      <c r="AL212" s="149">
        <f t="shared" si="45"/>
        <v>222</v>
      </c>
      <c r="AM212" s="149">
        <f t="shared" si="44"/>
        <v>909872106</v>
      </c>
      <c r="AN212" s="149" t="s">
        <v>657</v>
      </c>
    </row>
    <row r="213" spans="17:45">
      <c r="Q213" s="99" t="s">
        <v>4630</v>
      </c>
      <c r="R213" s="95">
        <v>19663646</v>
      </c>
      <c r="T213" s="214" t="s">
        <v>4844</v>
      </c>
      <c r="U213" s="214">
        <v>15257</v>
      </c>
      <c r="V213" s="113">
        <v>262.19018</v>
      </c>
      <c r="W213" s="113">
        <f t="shared" si="42"/>
        <v>4000235.57626</v>
      </c>
      <c r="X213" s="99" t="s">
        <v>452</v>
      </c>
      <c r="AH213" s="149">
        <v>17</v>
      </c>
      <c r="AI213" s="149" t="s">
        <v>4415</v>
      </c>
      <c r="AJ213" s="189">
        <v>-1000000</v>
      </c>
      <c r="AK213" s="149">
        <v>7</v>
      </c>
      <c r="AL213" s="149">
        <f t="shared" si="45"/>
        <v>220</v>
      </c>
      <c r="AM213" s="149">
        <f t="shared" si="44"/>
        <v>-220000000</v>
      </c>
      <c r="AN213" s="149" t="s">
        <v>657</v>
      </c>
      <c r="AR213" t="s">
        <v>25</v>
      </c>
    </row>
    <row r="214" spans="17:45">
      <c r="Q214" s="99" t="s">
        <v>4655</v>
      </c>
      <c r="R214" s="95">
        <v>4374525</v>
      </c>
      <c r="T214" s="214" t="s">
        <v>4844</v>
      </c>
      <c r="U214" s="214">
        <v>8444</v>
      </c>
      <c r="V214" s="113">
        <v>266.43029999999999</v>
      </c>
      <c r="W214" s="113">
        <f t="shared" si="42"/>
        <v>2249737.4531999999</v>
      </c>
      <c r="X214" s="99" t="s">
        <v>452</v>
      </c>
      <c r="AH214" s="149">
        <v>18</v>
      </c>
      <c r="AI214" s="149" t="s">
        <v>4438</v>
      </c>
      <c r="AJ214" s="189">
        <v>750000</v>
      </c>
      <c r="AK214" s="149">
        <v>1</v>
      </c>
      <c r="AL214" s="149">
        <f t="shared" si="45"/>
        <v>213</v>
      </c>
      <c r="AM214" s="149">
        <f t="shared" si="44"/>
        <v>159750000</v>
      </c>
      <c r="AN214" s="149" t="s">
        <v>657</v>
      </c>
      <c r="AQ214" t="s">
        <v>25</v>
      </c>
    </row>
    <row r="215" spans="17:45">
      <c r="Q215" s="99" t="s">
        <v>4668</v>
      </c>
      <c r="R215" s="95">
        <v>6550580</v>
      </c>
      <c r="T215" s="214" t="s">
        <v>4849</v>
      </c>
      <c r="U215" s="214">
        <v>-6209</v>
      </c>
      <c r="V215" s="113">
        <v>273.79649999999998</v>
      </c>
      <c r="W215" s="113">
        <f t="shared" si="42"/>
        <v>-1700002.4685</v>
      </c>
      <c r="X215" s="99" t="s">
        <v>4860</v>
      </c>
      <c r="AH215" s="196">
        <v>19</v>
      </c>
      <c r="AI215" s="196" t="s">
        <v>4440</v>
      </c>
      <c r="AJ215" s="197">
        <v>-604152</v>
      </c>
      <c r="AK215" s="196">
        <v>0</v>
      </c>
      <c r="AL215" s="196">
        <f t="shared" si="45"/>
        <v>212</v>
      </c>
      <c r="AM215" s="196">
        <f t="shared" si="44"/>
        <v>-128080224</v>
      </c>
      <c r="AN215" s="196" t="s">
        <v>657</v>
      </c>
    </row>
    <row r="216" spans="17:45">
      <c r="Q216" s="99" t="s">
        <v>4670</v>
      </c>
      <c r="R216" s="95">
        <v>6650895</v>
      </c>
      <c r="T216" s="214" t="s">
        <v>4849</v>
      </c>
      <c r="U216" s="214">
        <v>-8014</v>
      </c>
      <c r="V216" s="113">
        <v>273.79649999999998</v>
      </c>
      <c r="W216" s="113">
        <f t="shared" si="42"/>
        <v>-2194205.1510000001</v>
      </c>
      <c r="X216" s="99" t="s">
        <v>751</v>
      </c>
      <c r="AH216" s="99">
        <v>20</v>
      </c>
      <c r="AI216" s="99" t="s">
        <v>4441</v>
      </c>
      <c r="AJ216" s="117">
        <v>-587083</v>
      </c>
      <c r="AK216" s="99">
        <v>4</v>
      </c>
      <c r="AL216" s="99">
        <f t="shared" si="45"/>
        <v>212</v>
      </c>
      <c r="AM216" s="99">
        <f t="shared" si="44"/>
        <v>-124461596</v>
      </c>
      <c r="AN216" s="99"/>
    </row>
    <row r="217" spans="17:45">
      <c r="Q217" s="99" t="s">
        <v>4694</v>
      </c>
      <c r="R217" s="95">
        <v>2145814</v>
      </c>
      <c r="T217" s="214" t="s">
        <v>4858</v>
      </c>
      <c r="U217" s="214">
        <v>-9176</v>
      </c>
      <c r="V217" s="113">
        <v>273.79649999999998</v>
      </c>
      <c r="W217" s="113">
        <f t="shared" si="42"/>
        <v>-2512356.6839999999</v>
      </c>
      <c r="X217" s="99" t="s">
        <v>452</v>
      </c>
      <c r="AH217" s="196">
        <v>21</v>
      </c>
      <c r="AI217" s="196" t="s">
        <v>4442</v>
      </c>
      <c r="AJ217" s="197">
        <v>-754351</v>
      </c>
      <c r="AK217" s="196">
        <v>0</v>
      </c>
      <c r="AL217" s="149">
        <f t="shared" si="45"/>
        <v>208</v>
      </c>
      <c r="AM217" s="196">
        <f t="shared" si="44"/>
        <v>-156905008</v>
      </c>
      <c r="AN217" s="196" t="s">
        <v>657</v>
      </c>
    </row>
    <row r="218" spans="17:45">
      <c r="Q218" s="99" t="s">
        <v>4706</v>
      </c>
      <c r="R218" s="95">
        <v>4369730</v>
      </c>
      <c r="T218" s="214" t="s">
        <v>4858</v>
      </c>
      <c r="U218" s="214">
        <v>1087</v>
      </c>
      <c r="V218" s="113">
        <v>273.79649999999998</v>
      </c>
      <c r="W218" s="113">
        <f t="shared" si="42"/>
        <v>297616.79550000001</v>
      </c>
      <c r="X218" s="99" t="s">
        <v>452</v>
      </c>
      <c r="AH218" s="99">
        <v>22</v>
      </c>
      <c r="AI218" s="99" t="s">
        <v>4442</v>
      </c>
      <c r="AJ218" s="117">
        <v>-189619</v>
      </c>
      <c r="AK218" s="99">
        <v>15</v>
      </c>
      <c r="AL218" s="99">
        <f t="shared" si="45"/>
        <v>208</v>
      </c>
      <c r="AM218" s="99">
        <f t="shared" si="44"/>
        <v>-39440752</v>
      </c>
      <c r="AN218" s="99"/>
      <c r="AS218" t="s">
        <v>25</v>
      </c>
    </row>
    <row r="219" spans="17:45">
      <c r="Q219" s="99" t="s">
        <v>4708</v>
      </c>
      <c r="R219" s="95">
        <v>8739459</v>
      </c>
      <c r="S219" t="s">
        <v>25</v>
      </c>
      <c r="T219" s="214" t="s">
        <v>981</v>
      </c>
      <c r="U219" s="214">
        <v>-4017</v>
      </c>
      <c r="V219" s="113">
        <v>273.79649999999998</v>
      </c>
      <c r="W219" s="113">
        <f t="shared" si="42"/>
        <v>-1099840.5404999999</v>
      </c>
      <c r="X219" s="99" t="s">
        <v>4449</v>
      </c>
      <c r="AH219" s="196">
        <v>23</v>
      </c>
      <c r="AI219" s="196" t="s">
        <v>4514</v>
      </c>
      <c r="AJ219" s="189">
        <v>7100</v>
      </c>
      <c r="AK219" s="196">
        <v>0</v>
      </c>
      <c r="AL219" s="149">
        <f t="shared" si="45"/>
        <v>193</v>
      </c>
      <c r="AM219" s="196">
        <f t="shared" si="44"/>
        <v>1370300</v>
      </c>
      <c r="AN219" s="196" t="s">
        <v>657</v>
      </c>
    </row>
    <row r="220" spans="17:45">
      <c r="Q220" s="99" t="s">
        <v>4717</v>
      </c>
      <c r="R220" s="95">
        <v>6667654</v>
      </c>
      <c r="T220" s="214" t="s">
        <v>981</v>
      </c>
      <c r="U220" s="214">
        <v>4017</v>
      </c>
      <c r="V220" s="113">
        <v>273.79649999999998</v>
      </c>
      <c r="W220" s="113">
        <f t="shared" si="42"/>
        <v>1099840.5404999999</v>
      </c>
      <c r="X220" s="99" t="s">
        <v>452</v>
      </c>
      <c r="AH220" s="20">
        <v>24</v>
      </c>
      <c r="AI220" s="20" t="s">
        <v>4514</v>
      </c>
      <c r="AJ220" s="117">
        <v>-147902</v>
      </c>
      <c r="AK220" s="20">
        <v>3</v>
      </c>
      <c r="AL220" s="99">
        <f t="shared" si="45"/>
        <v>193</v>
      </c>
      <c r="AM220" s="20">
        <f t="shared" si="44"/>
        <v>-28545086</v>
      </c>
      <c r="AN220" s="20"/>
    </row>
    <row r="221" spans="17:45">
      <c r="Q221" s="99" t="s">
        <v>4725</v>
      </c>
      <c r="R221" s="95">
        <v>8981245</v>
      </c>
      <c r="T221" s="214" t="s">
        <v>4867</v>
      </c>
      <c r="U221" s="214">
        <v>3137</v>
      </c>
      <c r="V221" s="113">
        <v>283.69110000000001</v>
      </c>
      <c r="W221" s="113">
        <f t="shared" si="42"/>
        <v>889938.98070000007</v>
      </c>
      <c r="X221" s="99" t="s">
        <v>452</v>
      </c>
      <c r="AH221" s="149">
        <v>25</v>
      </c>
      <c r="AI221" s="149" t="s">
        <v>4522</v>
      </c>
      <c r="AJ221" s="189">
        <v>-37200</v>
      </c>
      <c r="AK221" s="149">
        <v>4</v>
      </c>
      <c r="AL221" s="149">
        <f t="shared" si="45"/>
        <v>190</v>
      </c>
      <c r="AM221" s="196">
        <f t="shared" si="44"/>
        <v>-7068000</v>
      </c>
      <c r="AN221" s="149" t="s">
        <v>657</v>
      </c>
    </row>
    <row r="222" spans="17:45">
      <c r="Q222" s="99" t="s">
        <v>4730</v>
      </c>
      <c r="R222" s="95">
        <v>9181756</v>
      </c>
      <c r="T222" s="214" t="s">
        <v>4880</v>
      </c>
      <c r="U222" s="214">
        <v>101933</v>
      </c>
      <c r="V222" s="113">
        <v>294.30973999999998</v>
      </c>
      <c r="W222" s="113">
        <f t="shared" si="42"/>
        <v>29999874.727419998</v>
      </c>
      <c r="X222" s="99" t="s">
        <v>1087</v>
      </c>
      <c r="AH222" s="99">
        <v>26</v>
      </c>
      <c r="AI222" s="99" t="s">
        <v>4553</v>
      </c>
      <c r="AJ222" s="117">
        <v>-372326</v>
      </c>
      <c r="AK222" s="99">
        <v>21</v>
      </c>
      <c r="AL222" s="99">
        <f t="shared" si="45"/>
        <v>186</v>
      </c>
      <c r="AM222" s="20">
        <f t="shared" si="44"/>
        <v>-69252636</v>
      </c>
      <c r="AN222" s="99"/>
    </row>
    <row r="223" spans="17:45">
      <c r="Q223" s="99" t="s">
        <v>4734</v>
      </c>
      <c r="R223" s="95">
        <v>11811208</v>
      </c>
      <c r="S223" t="s">
        <v>25</v>
      </c>
      <c r="T223" s="214" t="s">
        <v>4890</v>
      </c>
      <c r="U223" s="214">
        <v>3407</v>
      </c>
      <c r="V223" s="113">
        <v>293.43799999999999</v>
      </c>
      <c r="W223" s="113">
        <f t="shared" si="42"/>
        <v>999743.26599999995</v>
      </c>
      <c r="X223" s="99" t="s">
        <v>452</v>
      </c>
      <c r="AH223" s="99">
        <v>27</v>
      </c>
      <c r="AI223" s="99" t="s">
        <v>4605</v>
      </c>
      <c r="AJ223" s="117">
        <v>235062</v>
      </c>
      <c r="AK223" s="99">
        <v>0</v>
      </c>
      <c r="AL223" s="99">
        <f t="shared" si="45"/>
        <v>165</v>
      </c>
      <c r="AM223" s="20">
        <f t="shared" si="44"/>
        <v>38785230</v>
      </c>
      <c r="AN223" s="99"/>
    </row>
    <row r="224" spans="17:45">
      <c r="Q224" s="99" t="s">
        <v>4748</v>
      </c>
      <c r="R224" s="95">
        <v>41248054</v>
      </c>
      <c r="S224" t="s">
        <v>25</v>
      </c>
      <c r="T224" s="214" t="s">
        <v>4891</v>
      </c>
      <c r="U224" s="214">
        <v>68796</v>
      </c>
      <c r="V224" s="113">
        <v>293.53250000000003</v>
      </c>
      <c r="W224" s="113">
        <f t="shared" si="42"/>
        <v>20193861.870000001</v>
      </c>
      <c r="X224" s="99" t="s">
        <v>751</v>
      </c>
      <c r="Z224" t="s">
        <v>25</v>
      </c>
      <c r="AH224" s="149">
        <v>28</v>
      </c>
      <c r="AI224" s="149" t="s">
        <v>4605</v>
      </c>
      <c r="AJ224" s="189">
        <v>235062</v>
      </c>
      <c r="AK224" s="149">
        <v>9</v>
      </c>
      <c r="AL224" s="99">
        <f t="shared" si="45"/>
        <v>165</v>
      </c>
      <c r="AM224" s="149">
        <f t="shared" si="44"/>
        <v>38785230</v>
      </c>
      <c r="AN224" s="149" t="s">
        <v>657</v>
      </c>
    </row>
    <row r="225" spans="17:44">
      <c r="Q225" s="99" t="s">
        <v>4756</v>
      </c>
      <c r="R225" s="95">
        <v>37328780</v>
      </c>
      <c r="T225" s="214" t="s">
        <v>4891</v>
      </c>
      <c r="U225" s="214">
        <v>154791</v>
      </c>
      <c r="V225" s="113">
        <v>293.53250000000003</v>
      </c>
      <c r="W225" s="113">
        <f t="shared" si="42"/>
        <v>45436189.207500003</v>
      </c>
      <c r="X225" s="99" t="s">
        <v>452</v>
      </c>
      <c r="AH225" s="149">
        <v>29</v>
      </c>
      <c r="AI225" s="149" t="s">
        <v>4630</v>
      </c>
      <c r="AJ225" s="189">
        <v>450000</v>
      </c>
      <c r="AK225" s="149">
        <v>0</v>
      </c>
      <c r="AL225" s="99">
        <f t="shared" si="45"/>
        <v>156</v>
      </c>
      <c r="AM225" s="149">
        <f t="shared" si="44"/>
        <v>70200000</v>
      </c>
      <c r="AN225" s="149" t="s">
        <v>657</v>
      </c>
    </row>
    <row r="226" spans="17:44">
      <c r="Q226" s="99" t="s">
        <v>4849</v>
      </c>
      <c r="R226" s="95">
        <v>-2194100</v>
      </c>
      <c r="T226" s="214" t="s">
        <v>4891</v>
      </c>
      <c r="U226" s="214">
        <v>-11923</v>
      </c>
      <c r="V226" s="113">
        <v>293.53250000000003</v>
      </c>
      <c r="W226" s="113">
        <f t="shared" si="42"/>
        <v>-3499787.9975000005</v>
      </c>
      <c r="X226" s="99" t="s">
        <v>452</v>
      </c>
      <c r="Y226" t="s">
        <v>25</v>
      </c>
      <c r="AH226" s="20">
        <v>30</v>
      </c>
      <c r="AI226" s="20" t="s">
        <v>4630</v>
      </c>
      <c r="AJ226" s="117">
        <v>450000</v>
      </c>
      <c r="AK226" s="20">
        <v>22</v>
      </c>
      <c r="AL226" s="99">
        <f>AK226+AL227</f>
        <v>156</v>
      </c>
      <c r="AM226" s="20">
        <f t="shared" si="44"/>
        <v>70200000</v>
      </c>
      <c r="AN226" s="20"/>
    </row>
    <row r="227" spans="17:44">
      <c r="Q227" s="99" t="s">
        <v>4891</v>
      </c>
      <c r="R227" s="95">
        <v>20193916</v>
      </c>
      <c r="T227" s="214" t="s">
        <v>4907</v>
      </c>
      <c r="U227" s="214">
        <v>8424</v>
      </c>
      <c r="V227" s="113">
        <v>299.15170000000001</v>
      </c>
      <c r="W227" s="113">
        <f t="shared" si="42"/>
        <v>2520053.9208</v>
      </c>
      <c r="X227" s="99" t="s">
        <v>452</v>
      </c>
      <c r="AH227" s="149">
        <v>31</v>
      </c>
      <c r="AI227" s="149" t="s">
        <v>4708</v>
      </c>
      <c r="AJ227" s="189">
        <v>300000</v>
      </c>
      <c r="AK227" s="149">
        <v>0</v>
      </c>
      <c r="AL227" s="149">
        <f t="shared" ref="AL227:AL242" si="46">AK227+AL228</f>
        <v>134</v>
      </c>
      <c r="AM227" s="149">
        <f t="shared" ref="AM227:AM230" si="47">AJ227*AL227</f>
        <v>40200000</v>
      </c>
      <c r="AN227" s="149"/>
    </row>
    <row r="228" spans="17:44" ht="30">
      <c r="Q228" s="99" t="s">
        <v>4973</v>
      </c>
      <c r="R228" s="95">
        <v>-2000000</v>
      </c>
      <c r="T228" s="214" t="s">
        <v>4944</v>
      </c>
      <c r="U228" s="214">
        <v>15943</v>
      </c>
      <c r="V228" s="113">
        <v>307.34415000000001</v>
      </c>
      <c r="W228" s="113">
        <f t="shared" si="42"/>
        <v>4899987.78345</v>
      </c>
      <c r="X228" s="99" t="s">
        <v>452</v>
      </c>
      <c r="Y228" s="96"/>
      <c r="AH228" s="121">
        <v>32</v>
      </c>
      <c r="AI228" s="121" t="s">
        <v>4708</v>
      </c>
      <c r="AJ228" s="79">
        <v>288936</v>
      </c>
      <c r="AK228" s="121">
        <v>3</v>
      </c>
      <c r="AL228" s="121">
        <f t="shared" si="46"/>
        <v>134</v>
      </c>
      <c r="AM228" s="121">
        <f t="shared" si="47"/>
        <v>38717424</v>
      </c>
      <c r="AN228" s="206" t="s">
        <v>4719</v>
      </c>
    </row>
    <row r="229" spans="17:44">
      <c r="Q229" s="99" t="s">
        <v>5062</v>
      </c>
      <c r="R229" s="95">
        <v>6800000</v>
      </c>
      <c r="S229" t="s">
        <v>25</v>
      </c>
      <c r="T229" s="214" t="s">
        <v>4967</v>
      </c>
      <c r="U229" s="214">
        <v>3741</v>
      </c>
      <c r="V229" s="113">
        <v>307.34415000000001</v>
      </c>
      <c r="W229" s="113">
        <f t="shared" si="42"/>
        <v>1149774.4651500001</v>
      </c>
      <c r="X229" s="99" t="s">
        <v>452</v>
      </c>
      <c r="Y229" t="s">
        <v>25</v>
      </c>
      <c r="AH229" s="121">
        <v>33</v>
      </c>
      <c r="AI229" s="121" t="s">
        <v>4717</v>
      </c>
      <c r="AJ229" s="79">
        <v>17962491</v>
      </c>
      <c r="AK229" s="121">
        <v>1</v>
      </c>
      <c r="AL229" s="121">
        <f t="shared" si="46"/>
        <v>131</v>
      </c>
      <c r="AM229" s="121">
        <f t="shared" si="47"/>
        <v>2353086321</v>
      </c>
      <c r="AN229" s="121" t="s">
        <v>4724</v>
      </c>
    </row>
    <row r="230" spans="17:44">
      <c r="Q230" s="99" t="s">
        <v>5078</v>
      </c>
      <c r="R230" s="95">
        <v>850000</v>
      </c>
      <c r="T230" s="214" t="s">
        <v>4973</v>
      </c>
      <c r="U230" s="214">
        <v>-6207</v>
      </c>
      <c r="V230" s="113">
        <v>322.214</v>
      </c>
      <c r="W230" s="113">
        <f t="shared" si="42"/>
        <v>-1999982.298</v>
      </c>
      <c r="X230" s="99" t="s">
        <v>751</v>
      </c>
      <c r="AH230" s="121">
        <v>34</v>
      </c>
      <c r="AI230" s="121" t="s">
        <v>3684</v>
      </c>
      <c r="AJ230" s="79">
        <v>18363511</v>
      </c>
      <c r="AK230" s="121">
        <v>1</v>
      </c>
      <c r="AL230" s="121">
        <f t="shared" si="46"/>
        <v>130</v>
      </c>
      <c r="AM230" s="121">
        <f t="shared" si="47"/>
        <v>2387256430</v>
      </c>
      <c r="AN230" s="121" t="s">
        <v>4724</v>
      </c>
      <c r="AQ230" t="s">
        <v>25</v>
      </c>
    </row>
    <row r="231" spans="17:44">
      <c r="Q231" s="99" t="s">
        <v>5089</v>
      </c>
      <c r="R231" s="95">
        <v>2290500</v>
      </c>
      <c r="T231" s="214" t="s">
        <v>4973</v>
      </c>
      <c r="U231" s="214">
        <v>6207</v>
      </c>
      <c r="V231" s="113">
        <v>322.214</v>
      </c>
      <c r="W231" s="113">
        <f t="shared" si="42"/>
        <v>1999982.298</v>
      </c>
      <c r="X231" s="99" t="s">
        <v>4449</v>
      </c>
      <c r="AH231" s="121">
        <v>35</v>
      </c>
      <c r="AI231" s="121" t="s">
        <v>4730</v>
      </c>
      <c r="AJ231" s="79">
        <v>23622417</v>
      </c>
      <c r="AK231" s="121">
        <v>5</v>
      </c>
      <c r="AL231" s="121">
        <f t="shared" si="46"/>
        <v>129</v>
      </c>
      <c r="AM231" s="121">
        <f t="shared" ref="AM231:AM234" si="48">AJ231*AL231</f>
        <v>3047291793</v>
      </c>
      <c r="AN231" s="121" t="s">
        <v>4733</v>
      </c>
    </row>
    <row r="232" spans="17:44">
      <c r="Q232" s="99" t="s">
        <v>5106</v>
      </c>
      <c r="R232" s="95">
        <v>400000</v>
      </c>
      <c r="S232" t="s">
        <v>25</v>
      </c>
      <c r="T232" s="214" t="s">
        <v>4916</v>
      </c>
      <c r="U232" s="214">
        <v>776</v>
      </c>
      <c r="V232" s="113">
        <v>322.214</v>
      </c>
      <c r="W232" s="113">
        <f t="shared" si="42"/>
        <v>250038.06400000001</v>
      </c>
      <c r="X232" s="99" t="s">
        <v>452</v>
      </c>
      <c r="AH232" s="121">
        <v>36</v>
      </c>
      <c r="AI232" s="121" t="s">
        <v>4746</v>
      </c>
      <c r="AJ232" s="79">
        <v>82496108</v>
      </c>
      <c r="AK232" s="121">
        <v>1</v>
      </c>
      <c r="AL232" s="121">
        <f t="shared" si="46"/>
        <v>124</v>
      </c>
      <c r="AM232" s="121">
        <f t="shared" si="48"/>
        <v>10229517392</v>
      </c>
      <c r="AN232" s="121" t="s">
        <v>4749</v>
      </c>
    </row>
    <row r="233" spans="17:44">
      <c r="Q233" s="99" t="s">
        <v>5120</v>
      </c>
      <c r="R233" s="95">
        <v>150000</v>
      </c>
      <c r="T233" s="214" t="s">
        <v>5004</v>
      </c>
      <c r="U233" s="214">
        <v>1524</v>
      </c>
      <c r="V233" s="113">
        <v>314.95999999999998</v>
      </c>
      <c r="W233" s="113">
        <f t="shared" si="42"/>
        <v>479999.04</v>
      </c>
      <c r="X233" s="99" t="s">
        <v>1087</v>
      </c>
      <c r="Y233" t="s">
        <v>25</v>
      </c>
      <c r="AH233" s="121">
        <v>37</v>
      </c>
      <c r="AI233" s="121" t="s">
        <v>4748</v>
      </c>
      <c r="AJ233" s="79">
        <v>74657561</v>
      </c>
      <c r="AK233" s="121">
        <v>16</v>
      </c>
      <c r="AL233" s="121">
        <f t="shared" si="46"/>
        <v>123</v>
      </c>
      <c r="AM233" s="121">
        <f t="shared" si="48"/>
        <v>9182880003</v>
      </c>
      <c r="AN233" s="121" t="s">
        <v>4755</v>
      </c>
    </row>
    <row r="234" spans="17:44">
      <c r="Q234" s="99"/>
      <c r="R234" s="95"/>
      <c r="T234" s="214" t="s">
        <v>5013</v>
      </c>
      <c r="U234" s="214">
        <v>4435</v>
      </c>
      <c r="V234" s="113">
        <v>316.4375</v>
      </c>
      <c r="W234" s="113">
        <f t="shared" si="42"/>
        <v>1403400.3125</v>
      </c>
      <c r="X234" s="99" t="s">
        <v>452</v>
      </c>
      <c r="AH234" s="99">
        <v>38</v>
      </c>
      <c r="AI234" s="99" t="s">
        <v>4830</v>
      </c>
      <c r="AJ234" s="117">
        <v>665000</v>
      </c>
      <c r="AK234" s="99">
        <v>0</v>
      </c>
      <c r="AL234" s="99">
        <f t="shared" si="46"/>
        <v>107</v>
      </c>
      <c r="AM234" s="20">
        <f t="shared" si="48"/>
        <v>71155000</v>
      </c>
      <c r="AN234" s="99"/>
    </row>
    <row r="235" spans="17:44">
      <c r="Q235" s="99"/>
      <c r="R235" s="95">
        <f>SUM(R206:R234)</f>
        <v>434726775</v>
      </c>
      <c r="T235" s="214" t="s">
        <v>5018</v>
      </c>
      <c r="U235" s="214">
        <v>624</v>
      </c>
      <c r="V235" s="113">
        <v>320.5</v>
      </c>
      <c r="W235" s="113">
        <f t="shared" si="42"/>
        <v>199992</v>
      </c>
      <c r="X235" s="99" t="s">
        <v>452</v>
      </c>
      <c r="Z235" t="s">
        <v>25</v>
      </c>
      <c r="AA235" t="s">
        <v>25</v>
      </c>
      <c r="AH235" s="149">
        <v>39</v>
      </c>
      <c r="AI235" s="149" t="s">
        <v>4830</v>
      </c>
      <c r="AJ235" s="189">
        <v>665000</v>
      </c>
      <c r="AK235" s="149">
        <v>4</v>
      </c>
      <c r="AL235" s="196">
        <f t="shared" si="46"/>
        <v>107</v>
      </c>
      <c r="AM235" s="196">
        <f t="shared" ref="AM235:AM236" si="49">AJ235*AL235</f>
        <v>71155000</v>
      </c>
      <c r="AN235" s="196"/>
    </row>
    <row r="236" spans="17:44">
      <c r="Q236" s="99"/>
      <c r="R236" s="99" t="s">
        <v>6</v>
      </c>
      <c r="S236" t="s">
        <v>25</v>
      </c>
      <c r="T236" s="214" t="s">
        <v>5025</v>
      </c>
      <c r="U236" s="214">
        <v>1086</v>
      </c>
      <c r="V236" s="113">
        <v>317.55</v>
      </c>
      <c r="W236" s="113">
        <f t="shared" si="42"/>
        <v>344859.3</v>
      </c>
      <c r="X236" s="99" t="s">
        <v>452</v>
      </c>
      <c r="AH236" s="20">
        <v>40</v>
      </c>
      <c r="AI236" s="20" t="s">
        <v>4844</v>
      </c>
      <c r="AJ236" s="117">
        <v>2000000</v>
      </c>
      <c r="AK236" s="20">
        <v>1</v>
      </c>
      <c r="AL236" s="99">
        <f t="shared" si="46"/>
        <v>103</v>
      </c>
      <c r="AM236" s="20">
        <f t="shared" si="49"/>
        <v>206000000</v>
      </c>
      <c r="AN236" s="99"/>
    </row>
    <row r="237" spans="17:44">
      <c r="T237" s="214" t="s">
        <v>5031</v>
      </c>
      <c r="U237" s="214">
        <v>2820</v>
      </c>
      <c r="V237" s="113">
        <v>319.1096</v>
      </c>
      <c r="W237" s="113">
        <f t="shared" si="42"/>
        <v>899889.07200000004</v>
      </c>
      <c r="X237" s="99" t="s">
        <v>452</v>
      </c>
      <c r="Y237" t="s">
        <v>25</v>
      </c>
      <c r="AH237" s="20">
        <v>41</v>
      </c>
      <c r="AI237" s="20" t="s">
        <v>4849</v>
      </c>
      <c r="AJ237" s="117">
        <v>-2060725</v>
      </c>
      <c r="AK237" s="20">
        <v>0</v>
      </c>
      <c r="AL237" s="99">
        <f t="shared" si="46"/>
        <v>102</v>
      </c>
      <c r="AM237" s="20">
        <f t="shared" ref="AM237:AM242" si="50">AJ237*AL237</f>
        <v>-210193950</v>
      </c>
      <c r="AN237" s="99" t="s">
        <v>4850</v>
      </c>
    </row>
    <row r="238" spans="17:44">
      <c r="T238" s="214" t="s">
        <v>5035</v>
      </c>
      <c r="U238" s="214">
        <v>1145</v>
      </c>
      <c r="V238" s="113">
        <v>325.44</v>
      </c>
      <c r="W238" s="113">
        <f t="shared" si="42"/>
        <v>372628.8</v>
      </c>
      <c r="X238" s="99" t="s">
        <v>452</v>
      </c>
      <c r="AH238" s="149">
        <v>42</v>
      </c>
      <c r="AI238" s="149" t="s">
        <v>4849</v>
      </c>
      <c r="AJ238" s="189">
        <v>-433375</v>
      </c>
      <c r="AK238" s="149">
        <v>0</v>
      </c>
      <c r="AL238" s="149">
        <f t="shared" si="46"/>
        <v>102</v>
      </c>
      <c r="AM238" s="149">
        <f t="shared" si="50"/>
        <v>-44204250</v>
      </c>
      <c r="AN238" s="149" t="s">
        <v>4851</v>
      </c>
      <c r="AR238" t="s">
        <v>25</v>
      </c>
    </row>
    <row r="239" spans="17:44">
      <c r="Q239" s="99" t="s">
        <v>452</v>
      </c>
      <c r="R239" s="99"/>
      <c r="T239" s="214" t="s">
        <v>5047</v>
      </c>
      <c r="U239" s="214">
        <v>20153</v>
      </c>
      <c r="V239" s="113">
        <v>322</v>
      </c>
      <c r="W239" s="113">
        <f t="shared" si="42"/>
        <v>6489266</v>
      </c>
      <c r="X239" s="99" t="s">
        <v>452</v>
      </c>
      <c r="AH239" s="20">
        <v>43</v>
      </c>
      <c r="AI239" s="20" t="s">
        <v>4849</v>
      </c>
      <c r="AJ239" s="117">
        <v>28000000</v>
      </c>
      <c r="AK239" s="20">
        <v>1</v>
      </c>
      <c r="AL239" s="99">
        <f t="shared" si="46"/>
        <v>102</v>
      </c>
      <c r="AM239" s="20">
        <f t="shared" si="50"/>
        <v>2856000000</v>
      </c>
      <c r="AN239" s="99" t="s">
        <v>3891</v>
      </c>
      <c r="AR239" t="s">
        <v>25</v>
      </c>
    </row>
    <row r="240" spans="17:44">
      <c r="Q240" s="99" t="s">
        <v>4442</v>
      </c>
      <c r="R240" s="95">
        <v>63115000</v>
      </c>
      <c r="T240" s="214" t="s">
        <v>5062</v>
      </c>
      <c r="U240" s="214">
        <v>93720</v>
      </c>
      <c r="V240" s="113">
        <v>325.435</v>
      </c>
      <c r="W240" s="113">
        <f t="shared" si="42"/>
        <v>30499768.199999999</v>
      </c>
      <c r="X240" s="99" t="s">
        <v>1087</v>
      </c>
      <c r="AH240" s="20">
        <v>44</v>
      </c>
      <c r="AI240" s="20" t="s">
        <v>4858</v>
      </c>
      <c r="AJ240" s="117">
        <v>160000</v>
      </c>
      <c r="AK240" s="20">
        <v>0</v>
      </c>
      <c r="AL240" s="99">
        <f t="shared" si="46"/>
        <v>101</v>
      </c>
      <c r="AM240" s="20">
        <f t="shared" si="50"/>
        <v>16160000</v>
      </c>
      <c r="AN240" s="99"/>
    </row>
    <row r="241" spans="17:43">
      <c r="Q241" s="99" t="s">
        <v>4496</v>
      </c>
      <c r="R241" s="95">
        <v>13300000</v>
      </c>
      <c r="T241" s="214" t="s">
        <v>5062</v>
      </c>
      <c r="U241" s="214">
        <v>20895</v>
      </c>
      <c r="V241" s="113">
        <v>325.435</v>
      </c>
      <c r="W241" s="113">
        <f t="shared" si="42"/>
        <v>6799964.3250000002</v>
      </c>
      <c r="X241" s="99" t="s">
        <v>751</v>
      </c>
      <c r="AH241" s="149">
        <v>45</v>
      </c>
      <c r="AI241" s="149" t="s">
        <v>4858</v>
      </c>
      <c r="AJ241" s="189">
        <v>70000</v>
      </c>
      <c r="AK241" s="149">
        <v>9</v>
      </c>
      <c r="AL241" s="149">
        <f t="shared" si="46"/>
        <v>101</v>
      </c>
      <c r="AM241" s="149">
        <f t="shared" si="50"/>
        <v>7070000</v>
      </c>
      <c r="AN241" s="149"/>
    </row>
    <row r="242" spans="17:43">
      <c r="Q242" s="99" t="s">
        <v>4504</v>
      </c>
      <c r="R242" s="95">
        <v>2269000</v>
      </c>
      <c r="T242" s="214" t="s">
        <v>5078</v>
      </c>
      <c r="U242" s="214">
        <v>2611</v>
      </c>
      <c r="V242" s="113">
        <v>325.435</v>
      </c>
      <c r="W242" s="113">
        <f t="shared" si="42"/>
        <v>849710.78500000003</v>
      </c>
      <c r="X242" s="99" t="s">
        <v>751</v>
      </c>
      <c r="AH242" s="20">
        <v>46</v>
      </c>
      <c r="AI242" s="20" t="s">
        <v>4867</v>
      </c>
      <c r="AJ242" s="117">
        <v>850000</v>
      </c>
      <c r="AK242" s="20">
        <v>0</v>
      </c>
      <c r="AL242" s="99">
        <f t="shared" si="46"/>
        <v>92</v>
      </c>
      <c r="AM242" s="20">
        <f t="shared" si="50"/>
        <v>78200000</v>
      </c>
      <c r="AN242" s="99"/>
    </row>
    <row r="243" spans="17:43">
      <c r="Q243" s="99" t="s">
        <v>4619</v>
      </c>
      <c r="R243" s="95">
        <v>25071612</v>
      </c>
      <c r="T243" s="214" t="s">
        <v>5089</v>
      </c>
      <c r="U243" s="214">
        <v>6750</v>
      </c>
      <c r="V243" s="113">
        <v>339.3</v>
      </c>
      <c r="W243" s="113">
        <f t="shared" si="42"/>
        <v>2290275</v>
      </c>
      <c r="X243" s="99" t="s">
        <v>751</v>
      </c>
      <c r="AH243" s="196">
        <v>47</v>
      </c>
      <c r="AI243" s="196" t="s">
        <v>4867</v>
      </c>
      <c r="AJ243" s="197">
        <v>20000</v>
      </c>
      <c r="AK243" s="196">
        <v>4</v>
      </c>
      <c r="AL243" s="196">
        <f t="shared" ref="AL243:AL251" si="51">AK243+AL244</f>
        <v>92</v>
      </c>
      <c r="AM243" s="196">
        <f t="shared" ref="AM243:AM251" si="52">AJ243*AL243</f>
        <v>1840000</v>
      </c>
      <c r="AN243" s="196"/>
    </row>
    <row r="244" spans="17:43">
      <c r="Q244" s="99" t="s">
        <v>4628</v>
      </c>
      <c r="R244" s="95">
        <v>42236984</v>
      </c>
      <c r="T244" s="214" t="s">
        <v>5106</v>
      </c>
      <c r="U244" s="214">
        <v>1850</v>
      </c>
      <c r="V244" s="113">
        <v>334.10050000000001</v>
      </c>
      <c r="W244" s="113">
        <f t="shared" si="42"/>
        <v>618085.92500000005</v>
      </c>
      <c r="X244" s="99" t="s">
        <v>452</v>
      </c>
      <c r="AH244" s="196">
        <v>48</v>
      </c>
      <c r="AI244" s="196" t="s">
        <v>4880</v>
      </c>
      <c r="AJ244" s="197">
        <v>30000000</v>
      </c>
      <c r="AK244" s="196">
        <v>27</v>
      </c>
      <c r="AL244" s="196">
        <f t="shared" si="51"/>
        <v>88</v>
      </c>
      <c r="AM244" s="196">
        <f t="shared" si="52"/>
        <v>2640000000</v>
      </c>
      <c r="AN244" s="196" t="s">
        <v>4882</v>
      </c>
    </row>
    <row r="245" spans="17:43">
      <c r="Q245" s="99" t="s">
        <v>4630</v>
      </c>
      <c r="R245" s="95">
        <v>19663646</v>
      </c>
      <c r="T245" s="214" t="s">
        <v>5106</v>
      </c>
      <c r="U245" s="214">
        <v>-1194</v>
      </c>
      <c r="V245" s="113">
        <v>335</v>
      </c>
      <c r="W245" s="113">
        <f t="shared" si="42"/>
        <v>-399990</v>
      </c>
      <c r="X245" s="99" t="s">
        <v>4449</v>
      </c>
      <c r="AH245" s="20">
        <v>49</v>
      </c>
      <c r="AI245" s="20" t="s">
        <v>4967</v>
      </c>
      <c r="AJ245" s="117">
        <v>1100000</v>
      </c>
      <c r="AK245" s="20">
        <v>1</v>
      </c>
      <c r="AL245" s="20">
        <f t="shared" si="51"/>
        <v>61</v>
      </c>
      <c r="AM245" s="20">
        <f t="shared" si="52"/>
        <v>67100000</v>
      </c>
      <c r="AN245" s="20"/>
    </row>
    <row r="246" spans="17:43">
      <c r="Q246" s="99" t="s">
        <v>4655</v>
      </c>
      <c r="R246" s="95">
        <v>4374525</v>
      </c>
      <c r="T246" s="214" t="s">
        <v>5106</v>
      </c>
      <c r="U246" s="214">
        <v>1194</v>
      </c>
      <c r="V246" s="113">
        <v>335</v>
      </c>
      <c r="W246" s="113">
        <f t="shared" si="42"/>
        <v>399990</v>
      </c>
      <c r="X246" s="99" t="s">
        <v>751</v>
      </c>
      <c r="AH246" s="20">
        <v>50</v>
      </c>
      <c r="AI246" s="20" t="s">
        <v>4969</v>
      </c>
      <c r="AJ246" s="117">
        <v>450000</v>
      </c>
      <c r="AK246" s="20">
        <v>0</v>
      </c>
      <c r="AL246" s="20">
        <f t="shared" si="51"/>
        <v>60</v>
      </c>
      <c r="AM246" s="20">
        <f t="shared" si="52"/>
        <v>27000000</v>
      </c>
      <c r="AN246" s="20"/>
    </row>
    <row r="247" spans="17:43">
      <c r="Q247" s="99" t="s">
        <v>4668</v>
      </c>
      <c r="R247" s="95">
        <v>6550580</v>
      </c>
      <c r="T247" s="214" t="s">
        <v>5120</v>
      </c>
      <c r="U247" s="214">
        <v>433</v>
      </c>
      <c r="V247" s="113">
        <v>345.68</v>
      </c>
      <c r="W247" s="113">
        <f t="shared" si="42"/>
        <v>149679.44</v>
      </c>
      <c r="X247" s="99" t="s">
        <v>751</v>
      </c>
      <c r="AH247" s="149">
        <v>51</v>
      </c>
      <c r="AI247" s="149" t="s">
        <v>4969</v>
      </c>
      <c r="AJ247" s="189">
        <v>550000</v>
      </c>
      <c r="AK247" s="149">
        <v>1</v>
      </c>
      <c r="AL247" s="149">
        <f t="shared" si="51"/>
        <v>60</v>
      </c>
      <c r="AM247" s="149">
        <f t="shared" si="52"/>
        <v>33000000</v>
      </c>
      <c r="AN247" s="149"/>
    </row>
    <row r="248" spans="17:43">
      <c r="Q248" s="99" t="s">
        <v>4670</v>
      </c>
      <c r="R248" s="95">
        <v>7054895</v>
      </c>
      <c r="T248" s="214" t="s">
        <v>5129</v>
      </c>
      <c r="U248" s="214">
        <v>55459</v>
      </c>
      <c r="V248" s="113">
        <v>362.51978000000003</v>
      </c>
      <c r="W248" s="113">
        <f t="shared" si="42"/>
        <v>20104984.479020003</v>
      </c>
      <c r="X248" s="99" t="s">
        <v>452</v>
      </c>
      <c r="AH248" s="149">
        <v>52</v>
      </c>
      <c r="AI248" s="149" t="s">
        <v>4971</v>
      </c>
      <c r="AJ248" s="189">
        <v>1000000</v>
      </c>
      <c r="AK248" s="149">
        <v>8</v>
      </c>
      <c r="AL248" s="149">
        <f t="shared" si="51"/>
        <v>59</v>
      </c>
      <c r="AM248" s="149">
        <f t="shared" si="52"/>
        <v>59000000</v>
      </c>
      <c r="AN248" s="149"/>
    </row>
    <row r="249" spans="17:43">
      <c r="Q249" s="99" t="s">
        <v>4694</v>
      </c>
      <c r="R249" s="95">
        <v>2145814</v>
      </c>
      <c r="T249" s="168"/>
      <c r="U249" s="168"/>
      <c r="V249" s="113"/>
      <c r="W249" s="113"/>
      <c r="X249" s="99"/>
      <c r="AH249" s="20">
        <v>53</v>
      </c>
      <c r="AI249" s="20" t="s">
        <v>4981</v>
      </c>
      <c r="AJ249" s="117">
        <v>-2668880</v>
      </c>
      <c r="AK249" s="20">
        <v>0</v>
      </c>
      <c r="AL249" s="20">
        <f t="shared" si="51"/>
        <v>51</v>
      </c>
      <c r="AM249" s="20">
        <f t="shared" si="52"/>
        <v>-136112880</v>
      </c>
      <c r="AN249" s="20" t="s">
        <v>4983</v>
      </c>
      <c r="AP249" t="s">
        <v>25</v>
      </c>
    </row>
    <row r="250" spans="17:43">
      <c r="Q250" s="99" t="s">
        <v>4706</v>
      </c>
      <c r="R250" s="95">
        <v>4369730</v>
      </c>
      <c r="T250" s="168"/>
      <c r="U250" s="168">
        <f>SUM(U166:U249)</f>
        <v>3771175</v>
      </c>
      <c r="V250" s="99"/>
      <c r="W250" s="99"/>
      <c r="X250" s="99"/>
      <c r="Y250" t="s">
        <v>25</v>
      </c>
      <c r="AH250" s="149">
        <v>54</v>
      </c>
      <c r="AI250" s="149" t="s">
        <v>4981</v>
      </c>
      <c r="AJ250" s="189">
        <v>-1528620</v>
      </c>
      <c r="AK250" s="149">
        <v>0</v>
      </c>
      <c r="AL250" s="149">
        <f t="shared" si="51"/>
        <v>51</v>
      </c>
      <c r="AM250" s="149">
        <f t="shared" si="52"/>
        <v>-77959620</v>
      </c>
      <c r="AN250" s="149" t="s">
        <v>4983</v>
      </c>
    </row>
    <row r="251" spans="17:43">
      <c r="Q251" s="99" t="s">
        <v>4708</v>
      </c>
      <c r="R251" s="95">
        <v>8739459</v>
      </c>
      <c r="T251" s="99"/>
      <c r="U251" s="99" t="s">
        <v>6</v>
      </c>
      <c r="V251" s="99"/>
      <c r="W251" s="99"/>
      <c r="X251" s="99"/>
      <c r="Y251" t="s">
        <v>25</v>
      </c>
      <c r="AH251" s="20">
        <v>55</v>
      </c>
      <c r="AI251" s="20" t="s">
        <v>4981</v>
      </c>
      <c r="AJ251" s="117">
        <v>50000000</v>
      </c>
      <c r="AK251" s="20">
        <v>4</v>
      </c>
      <c r="AL251" s="20">
        <f t="shared" si="51"/>
        <v>51</v>
      </c>
      <c r="AM251" s="20">
        <f t="shared" si="52"/>
        <v>2550000000</v>
      </c>
      <c r="AN251" s="20"/>
    </row>
    <row r="252" spans="17:43">
      <c r="Q252" s="99" t="s">
        <v>4717</v>
      </c>
      <c r="R252" s="95">
        <v>6667654</v>
      </c>
      <c r="T252" s="201" t="s">
        <v>4486</v>
      </c>
      <c r="AH252" s="20">
        <v>56</v>
      </c>
      <c r="AI252" s="20" t="s">
        <v>4987</v>
      </c>
      <c r="AJ252" s="117">
        <v>400000</v>
      </c>
      <c r="AK252" s="20">
        <v>4</v>
      </c>
      <c r="AL252" s="20">
        <f t="shared" ref="AL252:AL261" si="53">AK252+AL253</f>
        <v>47</v>
      </c>
      <c r="AM252" s="20">
        <f t="shared" ref="AM252:AM261" si="54">AJ252*AL252</f>
        <v>18800000</v>
      </c>
      <c r="AN252" s="20"/>
    </row>
    <row r="253" spans="17:43">
      <c r="Q253" s="99" t="s">
        <v>3684</v>
      </c>
      <c r="R253" s="95">
        <v>8981245</v>
      </c>
      <c r="T253" s="200">
        <f>R176/U250</f>
        <v>363.68946906468148</v>
      </c>
      <c r="AH253" s="20">
        <v>57</v>
      </c>
      <c r="AI253" s="20" t="s">
        <v>5004</v>
      </c>
      <c r="AJ253" s="117">
        <v>2000000</v>
      </c>
      <c r="AK253" s="20">
        <v>3</v>
      </c>
      <c r="AL253" s="20">
        <f t="shared" si="53"/>
        <v>43</v>
      </c>
      <c r="AM253" s="20">
        <f t="shared" si="54"/>
        <v>86000000</v>
      </c>
      <c r="AN253" s="20"/>
      <c r="AQ253" t="s">
        <v>25</v>
      </c>
    </row>
    <row r="254" spans="17:43">
      <c r="Q254" s="99" t="s">
        <v>4730</v>
      </c>
      <c r="R254" s="95">
        <v>9181756</v>
      </c>
      <c r="T254">
        <v>335</v>
      </c>
      <c r="W254" s="114"/>
      <c r="AH254" s="20">
        <v>58</v>
      </c>
      <c r="AI254" s="20" t="s">
        <v>5007</v>
      </c>
      <c r="AJ254" s="117">
        <v>100000</v>
      </c>
      <c r="AK254" s="20">
        <v>4</v>
      </c>
      <c r="AL254" s="20">
        <f t="shared" si="53"/>
        <v>40</v>
      </c>
      <c r="AM254" s="20">
        <f t="shared" si="54"/>
        <v>4000000</v>
      </c>
      <c r="AN254" s="20" t="s">
        <v>3891</v>
      </c>
    </row>
    <row r="255" spans="17:43">
      <c r="Q255" s="99" t="s">
        <v>4734</v>
      </c>
      <c r="R255" s="95">
        <v>11811208</v>
      </c>
      <c r="U255" s="96" t="s">
        <v>267</v>
      </c>
      <c r="V255" t="s">
        <v>4487</v>
      </c>
      <c r="X255" t="s">
        <v>25</v>
      </c>
      <c r="AH255" s="20">
        <v>59</v>
      </c>
      <c r="AI255" s="20" t="s">
        <v>5018</v>
      </c>
      <c r="AJ255" s="117">
        <v>100000</v>
      </c>
      <c r="AK255" s="20">
        <v>7</v>
      </c>
      <c r="AL255" s="20">
        <f t="shared" si="53"/>
        <v>36</v>
      </c>
      <c r="AM255" s="20">
        <f t="shared" si="54"/>
        <v>3600000</v>
      </c>
      <c r="AN255" s="20"/>
    </row>
    <row r="256" spans="17:43">
      <c r="Q256" s="99" t="s">
        <v>4748</v>
      </c>
      <c r="R256" s="95">
        <v>41248054</v>
      </c>
      <c r="T256" s="114"/>
      <c r="U256" s="113">
        <v>20105000</v>
      </c>
      <c r="V256">
        <f>U256/T253</f>
        <v>55280.676813945262</v>
      </c>
      <c r="X256" t="s">
        <v>25</v>
      </c>
      <c r="AH256" s="20">
        <v>60</v>
      </c>
      <c r="AI256" s="20" t="s">
        <v>5035</v>
      </c>
      <c r="AJ256" s="117">
        <v>50000</v>
      </c>
      <c r="AK256" s="20">
        <v>0</v>
      </c>
      <c r="AL256" s="20">
        <f t="shared" si="53"/>
        <v>29</v>
      </c>
      <c r="AM256" s="20">
        <f t="shared" si="54"/>
        <v>1450000</v>
      </c>
      <c r="AN256" s="20"/>
    </row>
    <row r="257" spans="17:45">
      <c r="Q257" s="99" t="s">
        <v>4756</v>
      </c>
      <c r="R257" s="95">
        <v>37328780</v>
      </c>
      <c r="X257" t="s">
        <v>25</v>
      </c>
      <c r="AH257" s="149">
        <v>61</v>
      </c>
      <c r="AI257" s="149" t="s">
        <v>5035</v>
      </c>
      <c r="AJ257" s="189">
        <v>50000</v>
      </c>
      <c r="AK257" s="149">
        <v>3</v>
      </c>
      <c r="AL257" s="149">
        <f t="shared" si="53"/>
        <v>29</v>
      </c>
      <c r="AM257" s="149">
        <f t="shared" si="54"/>
        <v>1450000</v>
      </c>
      <c r="AN257" s="149"/>
    </row>
    <row r="258" spans="17:45">
      <c r="Q258" s="99" t="s">
        <v>4764</v>
      </c>
      <c r="R258" s="95">
        <v>50000000</v>
      </c>
      <c r="W258" s="224"/>
      <c r="X258" s="96" t="s">
        <v>25</v>
      </c>
      <c r="AH258" s="20">
        <v>62</v>
      </c>
      <c r="AI258" s="20" t="s">
        <v>5040</v>
      </c>
      <c r="AJ258" s="117">
        <v>50000</v>
      </c>
      <c r="AK258" s="20">
        <v>0</v>
      </c>
      <c r="AL258" s="20">
        <f t="shared" si="53"/>
        <v>26</v>
      </c>
      <c r="AM258" s="20">
        <f t="shared" si="54"/>
        <v>1300000</v>
      </c>
      <c r="AN258" s="20"/>
    </row>
    <row r="259" spans="17:45">
      <c r="Q259" s="99" t="s">
        <v>4830</v>
      </c>
      <c r="R259" s="95">
        <v>68656</v>
      </c>
      <c r="X259" t="s">
        <v>25</v>
      </c>
      <c r="AH259" s="196">
        <v>63</v>
      </c>
      <c r="AI259" s="196" t="s">
        <v>5040</v>
      </c>
      <c r="AJ259" s="197">
        <v>50000</v>
      </c>
      <c r="AK259" s="196">
        <v>2</v>
      </c>
      <c r="AL259" s="196">
        <f t="shared" si="53"/>
        <v>26</v>
      </c>
      <c r="AM259" s="196">
        <f t="shared" si="54"/>
        <v>1300000</v>
      </c>
      <c r="AN259" s="196"/>
    </row>
    <row r="260" spans="17:45">
      <c r="Q260" s="99" t="s">
        <v>4844</v>
      </c>
      <c r="R260" s="95">
        <v>4000236</v>
      </c>
      <c r="X260" t="s">
        <v>25</v>
      </c>
      <c r="AH260" s="20">
        <v>64</v>
      </c>
      <c r="AI260" s="20" t="s">
        <v>5050</v>
      </c>
      <c r="AJ260" s="117">
        <v>25000</v>
      </c>
      <c r="AK260" s="20">
        <v>0</v>
      </c>
      <c r="AL260" s="20">
        <f t="shared" si="53"/>
        <v>24</v>
      </c>
      <c r="AM260" s="20">
        <f t="shared" si="54"/>
        <v>600000</v>
      </c>
      <c r="AN260" s="20"/>
    </row>
    <row r="261" spans="17:45" ht="60">
      <c r="Q261" s="99" t="s">
        <v>4844</v>
      </c>
      <c r="R261" s="95">
        <v>2250000</v>
      </c>
      <c r="T261" s="22" t="s">
        <v>4470</v>
      </c>
      <c r="V261" s="224"/>
      <c r="AH261" s="149">
        <v>65</v>
      </c>
      <c r="AI261" s="149" t="s">
        <v>5050</v>
      </c>
      <c r="AJ261" s="189">
        <v>35000</v>
      </c>
      <c r="AK261" s="149">
        <v>7</v>
      </c>
      <c r="AL261" s="149">
        <f t="shared" si="53"/>
        <v>24</v>
      </c>
      <c r="AM261" s="149">
        <f t="shared" si="54"/>
        <v>840000</v>
      </c>
      <c r="AN261" s="149"/>
    </row>
    <row r="262" spans="17:45" ht="45">
      <c r="Q262" s="99" t="s">
        <v>4849</v>
      </c>
      <c r="R262" s="95">
        <v>-2512200</v>
      </c>
      <c r="T262" s="22" t="s">
        <v>4471</v>
      </c>
      <c r="AH262" s="149">
        <v>66</v>
      </c>
      <c r="AI262" s="149" t="s">
        <v>5062</v>
      </c>
      <c r="AJ262" s="189">
        <v>30000000</v>
      </c>
      <c r="AK262" s="149">
        <v>0</v>
      </c>
      <c r="AL262" s="149">
        <f t="shared" ref="AL262:AL285" si="55">AK262+AL263</f>
        <v>17</v>
      </c>
      <c r="AM262" s="149">
        <f t="shared" ref="AM262:AM285" si="56">AJ262*AL262</f>
        <v>510000000</v>
      </c>
      <c r="AN262" s="149"/>
    </row>
    <row r="263" spans="17:45">
      <c r="Q263" s="99" t="s">
        <v>4858</v>
      </c>
      <c r="R263" s="95">
        <v>300000</v>
      </c>
      <c r="AH263" s="20">
        <v>67</v>
      </c>
      <c r="AI263" s="20" t="s">
        <v>5062</v>
      </c>
      <c r="AJ263" s="117">
        <v>6800000</v>
      </c>
      <c r="AK263" s="20">
        <v>1</v>
      </c>
      <c r="AL263" s="20">
        <f t="shared" si="55"/>
        <v>17</v>
      </c>
      <c r="AM263" s="20">
        <f t="shared" si="56"/>
        <v>115600000</v>
      </c>
      <c r="AN263" s="20"/>
    </row>
    <row r="264" spans="17:45">
      <c r="Q264" s="99" t="s">
        <v>981</v>
      </c>
      <c r="R264" s="95">
        <v>1100000</v>
      </c>
      <c r="AH264" s="20">
        <v>68</v>
      </c>
      <c r="AI264" s="20" t="s">
        <v>5070</v>
      </c>
      <c r="AJ264" s="117">
        <v>500000</v>
      </c>
      <c r="AK264" s="20">
        <v>1</v>
      </c>
      <c r="AL264" s="20">
        <f t="shared" si="55"/>
        <v>16</v>
      </c>
      <c r="AM264" s="20">
        <f t="shared" si="56"/>
        <v>8000000</v>
      </c>
      <c r="AN264" s="20"/>
    </row>
    <row r="265" spans="17:45">
      <c r="Q265" s="99" t="s">
        <v>4867</v>
      </c>
      <c r="R265" s="95">
        <v>890000</v>
      </c>
      <c r="T265" s="99" t="s">
        <v>4488</v>
      </c>
      <c r="U265" s="99" t="s">
        <v>4459</v>
      </c>
      <c r="V265" s="99" t="s">
        <v>953</v>
      </c>
      <c r="AH265" s="20">
        <v>69</v>
      </c>
      <c r="AI265" s="20" t="s">
        <v>5078</v>
      </c>
      <c r="AJ265" s="117">
        <v>850000</v>
      </c>
      <c r="AK265" s="20">
        <v>5</v>
      </c>
      <c r="AL265" s="20">
        <f t="shared" si="55"/>
        <v>15</v>
      </c>
      <c r="AM265" s="20">
        <f t="shared" si="56"/>
        <v>12750000</v>
      </c>
      <c r="AN265" s="20"/>
    </row>
    <row r="266" spans="17:45">
      <c r="Q266" s="99" t="s">
        <v>4890</v>
      </c>
      <c r="R266" s="95">
        <v>1000000</v>
      </c>
      <c r="T266" s="95">
        <f>S199+R235+R282</f>
        <v>960903059</v>
      </c>
      <c r="U266" s="95">
        <f>R176</f>
        <v>1371536633.5000002</v>
      </c>
      <c r="V266" s="95">
        <f>U266-T266</f>
        <v>410633574.50000024</v>
      </c>
      <c r="AH266" s="20">
        <v>70</v>
      </c>
      <c r="AI266" s="20" t="s">
        <v>5089</v>
      </c>
      <c r="AJ266" s="117">
        <v>1130250</v>
      </c>
      <c r="AK266" s="20">
        <v>0</v>
      </c>
      <c r="AL266" s="20">
        <f t="shared" si="55"/>
        <v>10</v>
      </c>
      <c r="AM266" s="20">
        <f t="shared" si="56"/>
        <v>11302500</v>
      </c>
      <c r="AN266" s="20"/>
    </row>
    <row r="267" spans="17:45">
      <c r="Q267" s="99" t="s">
        <v>4891</v>
      </c>
      <c r="R267" s="95">
        <v>45436311</v>
      </c>
      <c r="Y267" t="s">
        <v>25</v>
      </c>
      <c r="AH267" s="262">
        <v>71</v>
      </c>
      <c r="AI267" s="262" t="s">
        <v>5089</v>
      </c>
      <c r="AJ267" s="253">
        <v>30000</v>
      </c>
      <c r="AK267" s="262">
        <v>5</v>
      </c>
      <c r="AL267" s="262">
        <f t="shared" si="55"/>
        <v>10</v>
      </c>
      <c r="AM267" s="262">
        <f t="shared" si="56"/>
        <v>300000</v>
      </c>
      <c r="AN267" s="262"/>
      <c r="AS267" t="s">
        <v>25</v>
      </c>
    </row>
    <row r="268" spans="17:45">
      <c r="Q268" s="99" t="s">
        <v>4891</v>
      </c>
      <c r="R268" s="95">
        <v>-3500000</v>
      </c>
      <c r="AH268" s="20">
        <v>72</v>
      </c>
      <c r="AI268" s="20" t="s">
        <v>5106</v>
      </c>
      <c r="AJ268" s="117">
        <v>206000</v>
      </c>
      <c r="AK268" s="20">
        <v>0</v>
      </c>
      <c r="AL268" s="20">
        <f t="shared" si="55"/>
        <v>5</v>
      </c>
      <c r="AM268" s="20">
        <f t="shared" si="56"/>
        <v>1030000</v>
      </c>
      <c r="AN268" s="20"/>
    </row>
    <row r="269" spans="17:45">
      <c r="Q269" s="99" t="s">
        <v>4907</v>
      </c>
      <c r="R269" s="95">
        <v>2520000</v>
      </c>
      <c r="AH269" s="149">
        <v>73</v>
      </c>
      <c r="AI269" s="149" t="s">
        <v>5106</v>
      </c>
      <c r="AJ269" s="189">
        <v>206000</v>
      </c>
      <c r="AK269" s="149">
        <v>2</v>
      </c>
      <c r="AL269" s="149">
        <f t="shared" si="55"/>
        <v>5</v>
      </c>
      <c r="AM269" s="149">
        <f t="shared" si="56"/>
        <v>1030000</v>
      </c>
      <c r="AN269" s="149"/>
    </row>
    <row r="270" spans="17:45">
      <c r="Q270" s="99" t="s">
        <v>4944</v>
      </c>
      <c r="R270" s="95">
        <v>4900000</v>
      </c>
      <c r="AH270" s="20">
        <v>74</v>
      </c>
      <c r="AI270" s="20" t="s">
        <v>5120</v>
      </c>
      <c r="AJ270" s="117">
        <v>50000</v>
      </c>
      <c r="AK270" s="20">
        <v>0</v>
      </c>
      <c r="AL270" s="20">
        <f t="shared" si="55"/>
        <v>3</v>
      </c>
      <c r="AM270" s="20">
        <f t="shared" si="56"/>
        <v>150000</v>
      </c>
      <c r="AN270" s="20"/>
    </row>
    <row r="271" spans="17:45">
      <c r="Q271" s="99" t="s">
        <v>4967</v>
      </c>
      <c r="R271" s="95">
        <v>1150000</v>
      </c>
      <c r="T271" t="s">
        <v>25</v>
      </c>
      <c r="AH271" s="262">
        <v>75</v>
      </c>
      <c r="AI271" s="262" t="s">
        <v>5120</v>
      </c>
      <c r="AJ271" s="253">
        <v>50000</v>
      </c>
      <c r="AK271" s="262">
        <v>2</v>
      </c>
      <c r="AL271" s="262">
        <f t="shared" si="55"/>
        <v>3</v>
      </c>
      <c r="AM271" s="262">
        <f t="shared" si="56"/>
        <v>150000</v>
      </c>
      <c r="AN271" s="262"/>
      <c r="AR271" t="s">
        <v>25</v>
      </c>
    </row>
    <row r="272" spans="17:45">
      <c r="Q272" s="99" t="s">
        <v>4916</v>
      </c>
      <c r="R272" s="95">
        <v>250000</v>
      </c>
      <c r="T272" t="s">
        <v>25</v>
      </c>
      <c r="AH272" s="20">
        <v>76</v>
      </c>
      <c r="AI272" s="20" t="s">
        <v>5129</v>
      </c>
      <c r="AJ272" s="117">
        <v>20000000</v>
      </c>
      <c r="AK272" s="20">
        <v>1</v>
      </c>
      <c r="AL272" s="20">
        <f t="shared" si="55"/>
        <v>1</v>
      </c>
      <c r="AM272" s="20">
        <f t="shared" si="56"/>
        <v>20000000</v>
      </c>
      <c r="AN272" s="20" t="s">
        <v>5130</v>
      </c>
    </row>
    <row r="273" spans="17:40">
      <c r="Q273" s="99" t="s">
        <v>5013</v>
      </c>
      <c r="R273" s="95">
        <v>1403460</v>
      </c>
      <c r="AH273" s="20"/>
      <c r="AI273" s="20"/>
      <c r="AJ273" s="117"/>
      <c r="AK273" s="20"/>
      <c r="AL273" s="20">
        <f t="shared" si="55"/>
        <v>0</v>
      </c>
      <c r="AM273" s="20">
        <f t="shared" si="56"/>
        <v>0</v>
      </c>
      <c r="AN273" s="20"/>
    </row>
    <row r="274" spans="17:40">
      <c r="Q274" s="99" t="s">
        <v>5018</v>
      </c>
      <c r="R274" s="95">
        <v>200000</v>
      </c>
      <c r="T274" t="s">
        <v>25</v>
      </c>
      <c r="AH274" s="20"/>
      <c r="AI274" s="20"/>
      <c r="AJ274" s="117"/>
      <c r="AK274" s="20"/>
      <c r="AL274" s="20">
        <f t="shared" si="55"/>
        <v>0</v>
      </c>
      <c r="AM274" s="20">
        <f t="shared" si="56"/>
        <v>0</v>
      </c>
      <c r="AN274" s="20"/>
    </row>
    <row r="275" spans="17:40">
      <c r="Q275" s="99" t="s">
        <v>5025</v>
      </c>
      <c r="R275" s="95">
        <v>345000</v>
      </c>
      <c r="T275" t="s">
        <v>25</v>
      </c>
      <c r="AH275" s="20"/>
      <c r="AI275" s="20"/>
      <c r="AJ275" s="117"/>
      <c r="AK275" s="20"/>
      <c r="AL275" s="20">
        <f t="shared" si="55"/>
        <v>0</v>
      </c>
      <c r="AM275" s="20">
        <f t="shared" si="56"/>
        <v>0</v>
      </c>
      <c r="AN275" s="20"/>
    </row>
    <row r="276" spans="17:40">
      <c r="Q276" s="99" t="s">
        <v>5031</v>
      </c>
      <c r="R276" s="95">
        <v>900000</v>
      </c>
      <c r="AH276" s="20"/>
      <c r="AI276" s="20"/>
      <c r="AJ276" s="117"/>
      <c r="AK276" s="20"/>
      <c r="AL276" s="20">
        <f t="shared" si="55"/>
        <v>0</v>
      </c>
      <c r="AM276" s="20">
        <f t="shared" si="56"/>
        <v>0</v>
      </c>
      <c r="AN276" s="20"/>
    </row>
    <row r="277" spans="17:40">
      <c r="Q277" s="99" t="s">
        <v>5035</v>
      </c>
      <c r="R277" s="95">
        <v>372517</v>
      </c>
      <c r="AH277" s="20"/>
      <c r="AI277" s="20"/>
      <c r="AJ277" s="117"/>
      <c r="AK277" s="20"/>
      <c r="AL277" s="20">
        <f t="shared" si="55"/>
        <v>0</v>
      </c>
      <c r="AM277" s="20">
        <f t="shared" si="56"/>
        <v>0</v>
      </c>
      <c r="AN277" s="20"/>
    </row>
    <row r="278" spans="17:40">
      <c r="Q278" s="99" t="s">
        <v>5047</v>
      </c>
      <c r="R278" s="95">
        <v>6489257</v>
      </c>
      <c r="T278" t="s">
        <v>25</v>
      </c>
      <c r="AH278" s="20"/>
      <c r="AI278" s="20"/>
      <c r="AJ278" s="117"/>
      <c r="AK278" s="20"/>
      <c r="AL278" s="20">
        <f t="shared" si="55"/>
        <v>0</v>
      </c>
      <c r="AM278" s="20">
        <f t="shared" si="56"/>
        <v>0</v>
      </c>
      <c r="AN278" s="20"/>
    </row>
    <row r="279" spans="17:40">
      <c r="Q279" s="99" t="s">
        <v>5106</v>
      </c>
      <c r="R279" s="95">
        <v>618000</v>
      </c>
      <c r="T279" t="s">
        <v>25</v>
      </c>
      <c r="AH279" s="20"/>
      <c r="AI279" s="20"/>
      <c r="AJ279" s="117"/>
      <c r="AK279" s="20"/>
      <c r="AL279" s="20">
        <f t="shared" si="55"/>
        <v>0</v>
      </c>
      <c r="AM279" s="20">
        <f t="shared" si="56"/>
        <v>0</v>
      </c>
      <c r="AN279" s="20"/>
    </row>
    <row r="280" spans="17:40">
      <c r="Q280" s="99" t="s">
        <v>5129</v>
      </c>
      <c r="R280" s="95">
        <v>20105000</v>
      </c>
      <c r="AH280" s="20"/>
      <c r="AI280" s="20"/>
      <c r="AJ280" s="117"/>
      <c r="AK280" s="20"/>
      <c r="AL280" s="20">
        <f t="shared" si="55"/>
        <v>0</v>
      </c>
      <c r="AM280" s="20">
        <f t="shared" si="56"/>
        <v>0</v>
      </c>
      <c r="AN280" s="20"/>
    </row>
    <row r="281" spans="17:40">
      <c r="Q281" s="99"/>
      <c r="R281" s="95"/>
      <c r="T281" t="s">
        <v>25</v>
      </c>
      <c r="AH281" s="20"/>
      <c r="AI281" s="20"/>
      <c r="AJ281" s="117"/>
      <c r="AK281" s="20"/>
      <c r="AL281" s="20">
        <f t="shared" si="55"/>
        <v>0</v>
      </c>
      <c r="AM281" s="20">
        <f t="shared" si="56"/>
        <v>0</v>
      </c>
      <c r="AN281" s="20"/>
    </row>
    <row r="282" spans="17:40">
      <c r="Q282" s="99"/>
      <c r="R282" s="95">
        <f>SUM(R240:R281)</f>
        <v>452396179</v>
      </c>
      <c r="T282" t="s">
        <v>25</v>
      </c>
      <c r="AH282" s="20"/>
      <c r="AI282" s="20"/>
      <c r="AJ282" s="117"/>
      <c r="AK282" s="20"/>
      <c r="AL282" s="20">
        <f t="shared" si="55"/>
        <v>0</v>
      </c>
      <c r="AM282" s="20">
        <f t="shared" si="56"/>
        <v>0</v>
      </c>
      <c r="AN282" s="20"/>
    </row>
    <row r="283" spans="17:40">
      <c r="Q283" s="99"/>
      <c r="R283" s="99" t="s">
        <v>6</v>
      </c>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T285" t="s">
        <v>25</v>
      </c>
      <c r="AH285" s="99"/>
      <c r="AI285" s="99"/>
      <c r="AJ285" s="117"/>
      <c r="AK285" s="99"/>
      <c r="AL285" s="99">
        <f t="shared" si="55"/>
        <v>0</v>
      </c>
      <c r="AM285" s="99">
        <f t="shared" si="56"/>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9" spans="16:40">
      <c r="AI289" t="s">
        <v>4061</v>
      </c>
      <c r="AJ289" s="114">
        <f>AJ286+AN286</f>
        <v>441768849.93110967</v>
      </c>
    </row>
    <row r="290" spans="16:40">
      <c r="AI290" t="s">
        <v>4064</v>
      </c>
      <c r="AJ290" s="114">
        <f>SUM(N20:N31)</f>
        <v>573189748.29999995</v>
      </c>
    </row>
    <row r="291" spans="16:40">
      <c r="R291" t="s">
        <v>25</v>
      </c>
      <c r="AI291" t="s">
        <v>4136</v>
      </c>
      <c r="AJ291" s="114">
        <f>AJ290-AJ286</f>
        <v>155087900.29999995</v>
      </c>
    </row>
    <row r="292" spans="16:40">
      <c r="AI292" t="s">
        <v>943</v>
      </c>
      <c r="AJ292" s="114">
        <f>AN286</f>
        <v>23667001.931109648</v>
      </c>
    </row>
    <row r="293" spans="16:40">
      <c r="AI293" t="s">
        <v>4065</v>
      </c>
      <c r="AJ293" s="114">
        <f>AJ291-AJ292</f>
        <v>131420898.3688903</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6:G1048576 G114:G117 G119 G99:G106 G108">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2 S116 S122 S128 S112 S47 S76 S134 S11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G113" zoomScale="90" zoomScaleNormal="90" workbookViewId="0">
      <selection activeCell="V145" sqref="V14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5094</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5102</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5098</v>
      </c>
      <c r="AD68" s="96" t="s">
        <v>5103</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5094</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5102</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5300</v>
      </c>
      <c r="AA73" s="96">
        <v>221</v>
      </c>
      <c r="AB73" s="96">
        <f>Z73/AA73</f>
        <v>23.981900452488688</v>
      </c>
      <c r="AC73" s="96">
        <f t="shared" si="18"/>
        <v>0.98768830960949272</v>
      </c>
      <c r="AD73" s="96">
        <f t="shared" si="19"/>
        <v>23.283398497561834</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5113</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5094</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5102</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5106</v>
      </c>
      <c r="L138" s="84">
        <v>736327754</v>
      </c>
      <c r="M138" s="84">
        <v>439057094</v>
      </c>
      <c r="N138" s="113">
        <f t="shared" si="32"/>
        <v>1175384848</v>
      </c>
      <c r="O138" s="113">
        <f t="shared" si="30"/>
        <v>5516545</v>
      </c>
      <c r="P138" s="113">
        <f t="shared" si="31"/>
        <v>9638954</v>
      </c>
      <c r="Q138" s="230">
        <v>0</v>
      </c>
    </row>
    <row r="139" spans="9:19">
      <c r="I139" s="190" t="s">
        <v>5112</v>
      </c>
      <c r="J139" s="189">
        <f>L139-L138-206000</f>
        <v>15013287</v>
      </c>
      <c r="K139" s="190" t="s">
        <v>5111</v>
      </c>
      <c r="L139" s="240">
        <v>751547041</v>
      </c>
      <c r="M139" s="240">
        <v>448656068</v>
      </c>
      <c r="N139" s="189">
        <f t="shared" si="32"/>
        <v>1200203109</v>
      </c>
      <c r="O139" s="189">
        <f>M139-M138-206000</f>
        <v>9392974</v>
      </c>
      <c r="P139" s="189">
        <f>N139-N138-412000</f>
        <v>24406261</v>
      </c>
      <c r="Q139" s="230">
        <v>412000</v>
      </c>
    </row>
    <row r="140" spans="9:19">
      <c r="I140" s="252" t="s">
        <v>5121</v>
      </c>
      <c r="J140" s="253">
        <f>L140-L139-50000</f>
        <v>22852739</v>
      </c>
      <c r="K140" s="252" t="s">
        <v>5120</v>
      </c>
      <c r="L140" s="254">
        <v>774449780</v>
      </c>
      <c r="M140" s="254">
        <v>460796198</v>
      </c>
      <c r="N140" s="253">
        <f t="shared" si="32"/>
        <v>1235245978</v>
      </c>
      <c r="O140" s="253">
        <f>M140-M139-50000</f>
        <v>12090130</v>
      </c>
      <c r="P140" s="253">
        <f>N140-N139-100000</f>
        <v>34942869</v>
      </c>
      <c r="Q140" s="230">
        <v>100000</v>
      </c>
    </row>
    <row r="141" spans="9:19">
      <c r="I141" s="214"/>
      <c r="J141" s="113">
        <f t="shared" si="21"/>
        <v>13614989</v>
      </c>
      <c r="K141" s="214" t="s">
        <v>5128</v>
      </c>
      <c r="L141" s="84">
        <v>788064769</v>
      </c>
      <c r="M141" s="84">
        <v>470434493</v>
      </c>
      <c r="N141" s="117">
        <f t="shared" si="32"/>
        <v>1258499262</v>
      </c>
      <c r="O141" s="113">
        <f t="shared" si="30"/>
        <v>9638295</v>
      </c>
      <c r="P141" s="113">
        <f t="shared" si="31"/>
        <v>23253284</v>
      </c>
      <c r="Q141" s="230">
        <v>0</v>
      </c>
    </row>
    <row r="142" spans="9:19">
      <c r="I142" s="190" t="s">
        <v>5134</v>
      </c>
      <c r="J142" s="189">
        <f>L142-L141-105000</f>
        <v>7274368</v>
      </c>
      <c r="K142" s="190" t="s">
        <v>5129</v>
      </c>
      <c r="L142" s="240">
        <v>795444137</v>
      </c>
      <c r="M142" s="240">
        <v>496046411</v>
      </c>
      <c r="N142" s="35">
        <f t="shared" si="32"/>
        <v>1291490548</v>
      </c>
      <c r="O142" s="189">
        <f>M142-M141-20000000</f>
        <v>5611918</v>
      </c>
      <c r="P142" s="189">
        <f>N142-N141-20105000</f>
        <v>12886286</v>
      </c>
      <c r="Q142" s="230">
        <v>20105000</v>
      </c>
    </row>
    <row r="143" spans="9:19">
      <c r="I143" s="214"/>
      <c r="J143" s="113">
        <f t="shared" si="21"/>
        <v>-795444137</v>
      </c>
      <c r="K143" s="214"/>
      <c r="L143" s="84"/>
      <c r="M143" s="84"/>
      <c r="N143" s="113">
        <f t="shared" si="32"/>
        <v>0</v>
      </c>
      <c r="O143" s="113">
        <f t="shared" si="30"/>
        <v>-496046411</v>
      </c>
      <c r="P143" s="113">
        <f t="shared" si="31"/>
        <v>-1291490548</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2019-06-26T09:10:49Z</dcterms:modified>
</cp:coreProperties>
</file>