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42" activeTab="55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S163" i="18" l="1"/>
  <c r="S154" i="18"/>
  <c r="S152" i="18"/>
  <c r="R285" i="18" l="1"/>
  <c r="J90" i="52"/>
  <c r="J95" i="52"/>
  <c r="P169" i="18"/>
  <c r="W250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F51" i="14" l="1"/>
  <c r="F52" i="14"/>
  <c r="F53" i="14"/>
  <c r="F54" i="14"/>
  <c r="F55" i="14"/>
  <c r="F56" i="14"/>
  <c r="F57" i="14"/>
  <c r="F58" i="14"/>
  <c r="F59" i="14"/>
  <c r="F60" i="14"/>
  <c r="F61" i="14"/>
  <c r="N92" i="52" l="1"/>
  <c r="O92" i="52"/>
  <c r="N93" i="52"/>
  <c r="O93" i="52"/>
  <c r="N94" i="52"/>
  <c r="O94" i="52"/>
  <c r="N95" i="52"/>
  <c r="P95" i="52" s="1"/>
  <c r="O95" i="52"/>
  <c r="N96" i="52"/>
  <c r="O96" i="52"/>
  <c r="N97" i="52"/>
  <c r="P97" i="52" s="1"/>
  <c r="O97" i="52"/>
  <c r="N111" i="52"/>
  <c r="O111" i="52"/>
  <c r="J92" i="52"/>
  <c r="J93" i="52"/>
  <c r="J94" i="52"/>
  <c r="J96" i="52"/>
  <c r="J97" i="52"/>
  <c r="J111" i="52"/>
  <c r="D68" i="52"/>
  <c r="O145" i="18"/>
  <c r="O144" i="18"/>
  <c r="O143" i="18"/>
  <c r="P96" i="52" l="1"/>
  <c r="P111" i="52"/>
  <c r="P94" i="52"/>
  <c r="P93" i="52"/>
  <c r="O147" i="18"/>
  <c r="N91" i="52"/>
  <c r="P92" i="52" s="1"/>
  <c r="R248" i="18" l="1"/>
  <c r="W249" i="18"/>
  <c r="W248" i="18"/>
  <c r="W247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6" i="18"/>
  <c r="G140" i="18" l="1"/>
  <c r="J140" i="18" s="1"/>
  <c r="G139" i="18"/>
  <c r="J139" i="18" s="1"/>
  <c r="G138" i="18"/>
  <c r="J138" i="18" s="1"/>
  <c r="G137" i="18"/>
  <c r="J137" i="18" s="1"/>
  <c r="J141" i="18" l="1"/>
  <c r="R218" i="18"/>
  <c r="T270" i="18" s="1"/>
  <c r="W245" i="18"/>
  <c r="O90" i="52" l="1"/>
  <c r="O91" i="52"/>
  <c r="O112" i="52"/>
  <c r="P112" i="52"/>
  <c r="J91" i="52"/>
  <c r="J112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4" i="18"/>
  <c r="G32" i="57" l="1"/>
  <c r="H32" i="57"/>
  <c r="D32" i="57"/>
  <c r="I32" i="57" s="1"/>
  <c r="D345" i="20"/>
  <c r="U254" i="18"/>
  <c r="W243" i="18"/>
  <c r="W242" i="18"/>
  <c r="W178" i="18" l="1"/>
  <c r="W177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37" i="56" l="1"/>
  <c r="B37" i="56"/>
  <c r="O84" i="52" l="1"/>
  <c r="P22" i="18"/>
  <c r="W241" i="18"/>
  <c r="D343" i="20"/>
  <c r="W240" i="18" l="1"/>
  <c r="D342" i="20"/>
  <c r="J83" i="52"/>
  <c r="O83" i="52"/>
  <c r="W239" i="18"/>
  <c r="W238" i="18"/>
  <c r="F44" i="14"/>
  <c r="F45" i="14"/>
  <c r="F46" i="14"/>
  <c r="F47" i="14"/>
  <c r="F48" i="14"/>
  <c r="F49" i="14"/>
  <c r="F50" i="14"/>
  <c r="D341" i="20"/>
  <c r="AJ232" i="18" l="1"/>
  <c r="AL147" i="18" l="1"/>
  <c r="AM147" i="18" s="1"/>
  <c r="W237" i="18"/>
  <c r="AL145" i="18" l="1"/>
  <c r="AM145" i="18" s="1"/>
  <c r="D340" i="20" l="1"/>
  <c r="P23" i="18"/>
  <c r="N23" i="18" s="1"/>
  <c r="N48" i="18"/>
  <c r="W236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35" i="18" l="1"/>
  <c r="D80" i="57"/>
  <c r="AD46" i="52" l="1"/>
  <c r="AE46" i="52"/>
  <c r="G46" i="10"/>
  <c r="D331" i="20" l="1"/>
  <c r="D330" i="20" l="1"/>
  <c r="W234" i="18" l="1"/>
  <c r="W233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1" i="52" l="1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2" i="18" l="1"/>
  <c r="W231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193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0" i="18"/>
  <c r="W229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8" i="18" l="1"/>
  <c r="W227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6" i="18" l="1"/>
  <c r="W225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31" i="18"/>
  <c r="P25" i="18"/>
  <c r="N25" i="18" s="1"/>
  <c r="N22" i="18"/>
  <c r="P30" i="18"/>
  <c r="N30" i="18" s="1"/>
  <c r="AM231" i="18" l="1"/>
  <c r="AL230" i="18"/>
  <c r="W224" i="18"/>
  <c r="W223" i="18"/>
  <c r="N30" i="52"/>
  <c r="N29" i="52"/>
  <c r="AD27" i="52"/>
  <c r="Z27" i="52"/>
  <c r="AE27" i="52"/>
  <c r="AL229" i="18" l="1"/>
  <c r="AM230" i="18"/>
  <c r="W222" i="18"/>
  <c r="W221" i="18"/>
  <c r="N28" i="52"/>
  <c r="N27" i="52"/>
  <c r="AL228" i="18" l="1"/>
  <c r="AM229" i="18"/>
  <c r="AD26" i="52"/>
  <c r="AE26" i="52"/>
  <c r="N40" i="18"/>
  <c r="AM228" i="18" l="1"/>
  <c r="AL227" i="18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0" i="18"/>
  <c r="W219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8" i="18"/>
  <c r="W217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6" i="18"/>
  <c r="W215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4" i="18"/>
  <c r="W213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2" i="18"/>
  <c r="W211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0" i="18"/>
  <c r="W209" i="18"/>
  <c r="D303" i="20"/>
  <c r="D302" i="20"/>
  <c r="W208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6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5" i="18"/>
  <c r="W204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3" i="18"/>
  <c r="W202" i="18"/>
  <c r="G346" i="20" l="1"/>
  <c r="J347" i="20"/>
  <c r="I347" i="20"/>
  <c r="K347" i="20"/>
  <c r="D293" i="20"/>
  <c r="K346" i="20" l="1"/>
  <c r="G345" i="20"/>
  <c r="J346" i="20"/>
  <c r="I346" i="20"/>
  <c r="W201" i="18"/>
  <c r="N53" i="18"/>
  <c r="M113" i="18" s="1"/>
  <c r="N57" i="18"/>
  <c r="K345" i="20" l="1"/>
  <c r="G344" i="20"/>
  <c r="J345" i="20"/>
  <c r="I345" i="20"/>
  <c r="N113" i="18"/>
  <c r="D292" i="20"/>
  <c r="C8" i="36"/>
  <c r="W200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9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0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5" i="18"/>
  <c r="W198" i="18"/>
  <c r="D278" i="20"/>
  <c r="J327" i="20" l="1"/>
  <c r="K327" i="20"/>
  <c r="G326" i="20"/>
  <c r="I327" i="20"/>
  <c r="W176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0" i="18"/>
  <c r="I325" i="20" l="1"/>
  <c r="K325" i="20"/>
  <c r="J325" i="20"/>
  <c r="G324" i="20"/>
  <c r="S169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7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6" i="18"/>
  <c r="AM124" i="18" l="1"/>
  <c r="AL123" i="18"/>
  <c r="AM123" i="18" l="1"/>
  <c r="AL122" i="18"/>
  <c r="AL121" i="18" l="1"/>
  <c r="AM122" i="18"/>
  <c r="W190" i="18"/>
  <c r="W191" i="18"/>
  <c r="W192" i="18"/>
  <c r="W193" i="18"/>
  <c r="W194" i="18"/>
  <c r="W195" i="18"/>
  <c r="W207" i="18"/>
  <c r="W189" i="18"/>
  <c r="AM121" i="18" l="1"/>
  <c r="AL120" i="18"/>
  <c r="N59" i="18"/>
  <c r="AM120" i="18" l="1"/>
  <c r="AL119" i="18"/>
  <c r="AM119" i="18" l="1"/>
  <c r="AL118" i="18"/>
  <c r="T173" i="18"/>
  <c r="S60" i="18"/>
  <c r="S61" i="18" s="1"/>
  <c r="S62" i="18" s="1"/>
  <c r="R194" i="18"/>
  <c r="R192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N33" i="18"/>
  <c r="Q80" i="18" s="1"/>
  <c r="S70" i="18" l="1"/>
  <c r="S71" i="18" s="1"/>
  <c r="S72" i="18" s="1"/>
  <c r="S73" i="18" s="1"/>
  <c r="S74" i="18" s="1"/>
  <c r="S75" i="18" s="1"/>
  <c r="S76" i="18" s="1"/>
  <c r="S77" i="18" s="1"/>
  <c r="S78" i="18" s="1"/>
  <c r="R191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5" i="18" l="1"/>
  <c r="AJ236" i="18"/>
  <c r="AJ237" i="18" s="1"/>
  <c r="R190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32" i="18"/>
  <c r="AN232" i="18" s="1"/>
  <c r="AJ235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38" i="18" l="1"/>
  <c r="AJ239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64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58" i="18"/>
  <c r="Q165" i="18" s="1"/>
  <c r="M109" i="18" l="1"/>
  <c r="N109" i="18" s="1"/>
  <c r="N120" i="18" s="1"/>
  <c r="AJ171" i="18"/>
  <c r="AJ172" i="18" s="1"/>
  <c r="R189" i="18"/>
  <c r="R199" i="18" s="1"/>
  <c r="T257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0" i="18" l="1"/>
  <c r="S178" i="18"/>
  <c r="U270" i="18"/>
  <c r="G304" i="20"/>
  <c r="I305" i="20"/>
  <c r="K305" i="20"/>
  <c r="J305" i="20"/>
  <c r="S129" i="18"/>
  <c r="AL73" i="18"/>
  <c r="AM74" i="18"/>
  <c r="N90" i="18"/>
  <c r="V163" i="18" s="1"/>
  <c r="W163" i="18" l="1"/>
  <c r="X163" i="18"/>
  <c r="V53" i="18"/>
  <c r="W53" i="18" s="1"/>
  <c r="V78" i="18"/>
  <c r="V52" i="18"/>
  <c r="X52" i="18" s="1"/>
  <c r="V77" i="18"/>
  <c r="V73" i="18"/>
  <c r="V76" i="18"/>
  <c r="V74" i="18"/>
  <c r="V75" i="18"/>
  <c r="U178" i="18"/>
  <c r="V178" i="18" s="1"/>
  <c r="V72" i="18"/>
  <c r="X72" i="18" s="1"/>
  <c r="V51" i="18"/>
  <c r="V50" i="18"/>
  <c r="X50" i="18" s="1"/>
  <c r="V71" i="18"/>
  <c r="V70" i="18"/>
  <c r="V49" i="18"/>
  <c r="V48" i="18"/>
  <c r="V69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70" i="18"/>
  <c r="V31" i="18"/>
  <c r="W31" i="18" s="1"/>
  <c r="V67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6" i="18"/>
  <c r="V118" i="18"/>
  <c r="V119" i="18"/>
  <c r="V116" i="18"/>
  <c r="V115" i="18"/>
  <c r="V114" i="18"/>
  <c r="V113" i="18"/>
  <c r="V110" i="18"/>
  <c r="V112" i="18"/>
  <c r="V111" i="18"/>
  <c r="V117" i="18"/>
  <c r="V164" i="18"/>
  <c r="V108" i="18"/>
  <c r="W108" i="18" s="1"/>
  <c r="V109" i="18"/>
  <c r="V29" i="18"/>
  <c r="W29" i="18" s="1"/>
  <c r="V65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4" i="18"/>
  <c r="V26" i="18"/>
  <c r="X26" i="18" s="1"/>
  <c r="V63" i="18"/>
  <c r="V79" i="18"/>
  <c r="V62" i="18"/>
  <c r="V100" i="18"/>
  <c r="V61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X53" i="18" l="1"/>
  <c r="W78" i="18"/>
  <c r="X78" i="18"/>
  <c r="W52" i="18"/>
  <c r="W77" i="18"/>
  <c r="X77" i="18"/>
  <c r="W74" i="18"/>
  <c r="X74" i="18"/>
  <c r="W76" i="18"/>
  <c r="X76" i="18"/>
  <c r="W75" i="18"/>
  <c r="X75" i="18"/>
  <c r="W73" i="18"/>
  <c r="X73" i="18"/>
  <c r="W72" i="18"/>
  <c r="W51" i="18"/>
  <c r="X51" i="18"/>
  <c r="W50" i="18"/>
  <c r="X71" i="18"/>
  <c r="W71" i="18"/>
  <c r="W70" i="18"/>
  <c r="X70" i="18"/>
  <c r="X48" i="18"/>
  <c r="W48" i="18"/>
  <c r="W49" i="18"/>
  <c r="X49" i="18"/>
  <c r="W69" i="18"/>
  <c r="X69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77" i="18"/>
  <c r="G302" i="20"/>
  <c r="K303" i="20"/>
  <c r="I303" i="20"/>
  <c r="J303" i="20"/>
  <c r="X31" i="18"/>
  <c r="W67" i="18"/>
  <c r="X67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6" i="18"/>
  <c r="X66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4" i="18"/>
  <c r="X164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5" i="18"/>
  <c r="X65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4" i="18"/>
  <c r="X64" i="18"/>
  <c r="W26" i="18"/>
  <c r="W63" i="18"/>
  <c r="X63" i="18"/>
  <c r="W62" i="18"/>
  <c r="X62" i="18"/>
  <c r="W79" i="18"/>
  <c r="X79" i="18"/>
  <c r="S176" i="18"/>
  <c r="S175" i="18"/>
  <c r="U175" i="18" s="1"/>
  <c r="W100" i="18"/>
  <c r="X100" i="18"/>
  <c r="X61" i="18"/>
  <c r="W61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7" i="18" l="1"/>
  <c r="V177" i="18" s="1"/>
  <c r="N36" i="18"/>
  <c r="L21" i="18" s="1"/>
  <c r="U176" i="18"/>
  <c r="V176" i="18" s="1"/>
  <c r="W130" i="18"/>
  <c r="X131" i="18"/>
  <c r="S133" i="18"/>
  <c r="V132" i="18"/>
  <c r="N67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3" i="18"/>
  <c r="V152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3" i="18"/>
  <c r="X153" i="18" s="1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3" i="18"/>
  <c r="G272" i="20"/>
  <c r="J273" i="20"/>
  <c r="K273" i="20"/>
  <c r="I273" i="20"/>
  <c r="AL41" i="18"/>
  <c r="AM42" i="18"/>
  <c r="G36" i="14" l="1"/>
  <c r="E35" i="14"/>
  <c r="V154" i="18"/>
  <c r="W154" i="18" s="1"/>
  <c r="S155" i="18"/>
  <c r="J272" i="20"/>
  <c r="K272" i="20"/>
  <c r="I272" i="20"/>
  <c r="G271" i="20"/>
  <c r="AM41" i="18"/>
  <c r="AL40" i="18"/>
  <c r="G35" i="14" l="1"/>
  <c r="E34" i="14"/>
  <c r="V155" i="18"/>
  <c r="W155" i="18" s="1"/>
  <c r="S156" i="18"/>
  <c r="X154" i="18"/>
  <c r="G270" i="20"/>
  <c r="I271" i="20"/>
  <c r="J271" i="20"/>
  <c r="K271" i="20"/>
  <c r="AL39" i="18"/>
  <c r="AM40" i="18"/>
  <c r="E243" i="15"/>
  <c r="G34" i="14" l="1"/>
  <c r="E33" i="14"/>
  <c r="V156" i="18"/>
  <c r="W156" i="18" s="1"/>
  <c r="S157" i="18"/>
  <c r="X155" i="18"/>
  <c r="G269" i="20"/>
  <c r="J270" i="20"/>
  <c r="K270" i="20"/>
  <c r="I270" i="20"/>
  <c r="AM39" i="18"/>
  <c r="AL38" i="18"/>
  <c r="E242" i="15"/>
  <c r="E32" i="14" l="1"/>
  <c r="G33" i="14"/>
  <c r="X156" i="18"/>
  <c r="S158" i="18"/>
  <c r="V157" i="18"/>
  <c r="I269" i="20"/>
  <c r="K269" i="20"/>
  <c r="J269" i="20"/>
  <c r="G268" i="20"/>
  <c r="AL37" i="18"/>
  <c r="AM38" i="18"/>
  <c r="J57" i="33"/>
  <c r="J55" i="33"/>
  <c r="J54" i="33"/>
  <c r="G32" i="14" l="1"/>
  <c r="E31" i="14"/>
  <c r="W157" i="18"/>
  <c r="X157" i="18"/>
  <c r="S159" i="18"/>
  <c r="V158" i="18"/>
  <c r="J268" i="20"/>
  <c r="I268" i="20"/>
  <c r="G267" i="20"/>
  <c r="K268" i="20"/>
  <c r="AL36" i="18"/>
  <c r="AM37" i="18"/>
  <c r="L57" i="33"/>
  <c r="E241" i="15"/>
  <c r="G31" i="14" l="1"/>
  <c r="E30" i="14"/>
  <c r="S160" i="18"/>
  <c r="V159" i="18"/>
  <c r="W158" i="18"/>
  <c r="X158" i="18"/>
  <c r="I267" i="20"/>
  <c r="K267" i="20"/>
  <c r="G266" i="20"/>
  <c r="J267" i="20"/>
  <c r="AM36" i="18"/>
  <c r="AL35" i="18"/>
  <c r="D168" i="20"/>
  <c r="E29" i="14" l="1"/>
  <c r="G30" i="14"/>
  <c r="V160" i="18"/>
  <c r="W160" i="18" s="1"/>
  <c r="S161" i="18"/>
  <c r="W159" i="18"/>
  <c r="X159" i="18"/>
  <c r="J266" i="20"/>
  <c r="G265" i="20"/>
  <c r="K266" i="20"/>
  <c r="I266" i="20"/>
  <c r="AL34" i="18"/>
  <c r="AM35" i="18"/>
  <c r="E240" i="15"/>
  <c r="E239" i="15"/>
  <c r="V161" i="18" l="1"/>
  <c r="W161" i="18" s="1"/>
  <c r="S162" i="18"/>
  <c r="V162" i="18" s="1"/>
  <c r="X160" i="18"/>
  <c r="G29" i="14"/>
  <c r="E28" i="14"/>
  <c r="K265" i="20"/>
  <c r="G264" i="20"/>
  <c r="J265" i="20"/>
  <c r="I265" i="20"/>
  <c r="D259" i="15"/>
  <c r="AL33" i="18"/>
  <c r="AM34" i="18"/>
  <c r="X161" i="18" l="1"/>
  <c r="X162" i="18"/>
  <c r="W162" i="18"/>
  <c r="E27" i="14"/>
  <c r="G28" i="14"/>
  <c r="G263" i="20"/>
  <c r="K264" i="20"/>
  <c r="J264" i="20"/>
  <c r="I264" i="20"/>
  <c r="D258" i="15"/>
  <c r="F259" i="15"/>
  <c r="AL32" i="18"/>
  <c r="AM33" i="18"/>
  <c r="E26" i="14" l="1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E25" i="14" l="1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1641" i="41"/>
  <c r="X1641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V1597" i="41" s="1"/>
  <c r="X1597" i="41" s="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V1649" i="41" s="1"/>
  <c r="X1649" i="41" s="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V1705" i="41" s="1"/>
  <c r="X1705" i="41" s="1"/>
  <c r="U1706" i="41"/>
  <c r="U1707" i="41"/>
  <c r="U1708" i="41"/>
  <c r="U1709" i="41"/>
  <c r="U1710" i="41"/>
  <c r="U1711" i="41"/>
  <c r="U1712" i="41"/>
  <c r="U1713" i="41"/>
  <c r="V1713" i="41" s="1"/>
  <c r="X1713" i="41" s="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24" i="41"/>
  <c r="P252" i="41"/>
  <c r="P284" i="41"/>
  <c r="P1121" i="41"/>
  <c r="P1185" i="41"/>
  <c r="P1265" i="41"/>
  <c r="P1286" i="41"/>
  <c r="P1313" i="41"/>
  <c r="P1318" i="41"/>
  <c r="P1414" i="41"/>
  <c r="P1521" i="41"/>
  <c r="P1585" i="41"/>
  <c r="P1697" i="41"/>
  <c r="P1729" i="41"/>
  <c r="P1777" i="41"/>
  <c r="P1990" i="41"/>
  <c r="P2017" i="41"/>
  <c r="P2113" i="41"/>
  <c r="P2209" i="41"/>
  <c r="P2214" i="41"/>
  <c r="P2330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N155" i="41" s="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M1178" i="41"/>
  <c r="N1178" i="41" s="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7" i="4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M2195" i="41"/>
  <c r="N2195" i="41" s="1"/>
  <c r="M2196" i="41"/>
  <c r="N2196" i="41" s="1"/>
  <c r="M2198" i="41"/>
  <c r="N2198" i="41" s="1"/>
  <c r="M2199" i="4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M2340" i="41"/>
  <c r="N2340" i="41" s="1"/>
  <c r="M2341" i="41"/>
  <c r="N2341" i="41" s="1"/>
  <c r="M2343" i="4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24" i="41"/>
  <c r="N40" i="41"/>
  <c r="N128" i="41"/>
  <c r="N144" i="41"/>
  <c r="N200" i="41"/>
  <c r="N240" i="41"/>
  <c r="N248" i="41"/>
  <c r="N280" i="41"/>
  <c r="N363" i="41"/>
  <c r="N368" i="41"/>
  <c r="N419" i="41"/>
  <c r="N424" i="41"/>
  <c r="N443" i="41"/>
  <c r="N448" i="41"/>
  <c r="N488" i="41"/>
  <c r="N528" i="41"/>
  <c r="N560" i="41"/>
  <c r="N568" i="41"/>
  <c r="N579" i="41"/>
  <c r="N608" i="41"/>
  <c r="N611" i="41"/>
  <c r="N635" i="41"/>
  <c r="N656" i="41"/>
  <c r="N688" i="41"/>
  <c r="N728" i="41"/>
  <c r="N736" i="41"/>
  <c r="N883" i="41"/>
  <c r="N888" i="41"/>
  <c r="N896" i="41"/>
  <c r="N915" i="41"/>
  <c r="N995" i="41"/>
  <c r="N1000" i="41"/>
  <c r="N1008" i="41"/>
  <c r="N1064" i="41"/>
  <c r="N1088" i="41"/>
  <c r="N1128" i="41"/>
  <c r="N1176" i="41"/>
  <c r="N1243" i="41"/>
  <c r="N1251" i="41"/>
  <c r="N2243" i="41"/>
  <c r="N2339" i="41"/>
  <c r="K2337" i="41"/>
  <c r="N10" i="41"/>
  <c r="N15" i="41"/>
  <c r="N31" i="41"/>
  <c r="N34" i="41"/>
  <c r="N39" i="41"/>
  <c r="N64" i="41"/>
  <c r="N66" i="41"/>
  <c r="N79" i="41"/>
  <c r="N95" i="41"/>
  <c r="N103" i="41"/>
  <c r="N104" i="41"/>
  <c r="N114" i="41"/>
  <c r="N119" i="41"/>
  <c r="N143" i="41"/>
  <c r="N151" i="41"/>
  <c r="N154" i="41"/>
  <c r="N159" i="41"/>
  <c r="N175" i="41"/>
  <c r="N184" i="41"/>
  <c r="N191" i="41"/>
  <c r="N194" i="41"/>
  <c r="N199" i="41"/>
  <c r="N210" i="41"/>
  <c r="N215" i="41"/>
  <c r="N218" i="41"/>
  <c r="N239" i="41"/>
  <c r="N250" i="41"/>
  <c r="N263" i="41"/>
  <c r="N264" i="41"/>
  <c r="N271" i="41"/>
  <c r="N279" i="41"/>
  <c r="N288" i="41"/>
  <c r="N320" i="41"/>
  <c r="N328" i="41"/>
  <c r="N330" i="41"/>
  <c r="N354" i="41"/>
  <c r="N359" i="41"/>
  <c r="N360" i="41"/>
  <c r="N370" i="41"/>
  <c r="N383" i="41"/>
  <c r="N393" i="41"/>
  <c r="N409" i="41"/>
  <c r="N410" i="41"/>
  <c r="N423" i="41"/>
  <c r="N431" i="41"/>
  <c r="N439" i="41"/>
  <c r="N440" i="41"/>
  <c r="N469" i="41"/>
  <c r="N471" i="41"/>
  <c r="N479" i="41"/>
  <c r="N480" i="41"/>
  <c r="N489" i="41"/>
  <c r="N519" i="41"/>
  <c r="N520" i="41"/>
  <c r="N535" i="41"/>
  <c r="N538" i="41"/>
  <c r="N559" i="41"/>
  <c r="N570" i="41"/>
  <c r="N591" i="41"/>
  <c r="N618" i="41"/>
  <c r="N631" i="41"/>
  <c r="N641" i="41"/>
  <c r="N658" i="41"/>
  <c r="N679" i="41"/>
  <c r="N696" i="41"/>
  <c r="N698" i="41"/>
  <c r="N703" i="41"/>
  <c r="N746" i="41"/>
  <c r="N775" i="41"/>
  <c r="N783" i="41"/>
  <c r="N784" i="41"/>
  <c r="N800" i="41"/>
  <c r="N823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994" i="41"/>
  <c r="N1013" i="41"/>
  <c r="N1014" i="41"/>
  <c r="N1023" i="41"/>
  <c r="N1055" i="41"/>
  <c r="N1063" i="41"/>
  <c r="N1073" i="41"/>
  <c r="N1074" i="41"/>
  <c r="N1103" i="41"/>
  <c r="N1104" i="41"/>
  <c r="N1113" i="41"/>
  <c r="N1114" i="41"/>
  <c r="N1143" i="41"/>
  <c r="N1151" i="41"/>
  <c r="N1154" i="41"/>
  <c r="N1183" i="41"/>
  <c r="N1184" i="41"/>
  <c r="N1191" i="41"/>
  <c r="N1216" i="41"/>
  <c r="N1223" i="41"/>
  <c r="N1231" i="41"/>
  <c r="N1240" i="41"/>
  <c r="N1250" i="41"/>
  <c r="N1255" i="41"/>
  <c r="N1263" i="41"/>
  <c r="N1264" i="41"/>
  <c r="N1271" i="41"/>
  <c r="N1280" i="41"/>
  <c r="N1295" i="41"/>
  <c r="N1311" i="41"/>
  <c r="N1319" i="41"/>
  <c r="N1320" i="41"/>
  <c r="N1328" i="41"/>
  <c r="N1330" i="41"/>
  <c r="N1338" i="41"/>
  <c r="N1346" i="41"/>
  <c r="N1360" i="41"/>
  <c r="N1378" i="41"/>
  <c r="N1383" i="41"/>
  <c r="N1386" i="41"/>
  <c r="N1394" i="41"/>
  <c r="N1400" i="41"/>
  <c r="N1408" i="41"/>
  <c r="N1410" i="41"/>
  <c r="N1418" i="41"/>
  <c r="N1423" i="41"/>
  <c r="N1426" i="41"/>
  <c r="N1431" i="41"/>
  <c r="N1439" i="41"/>
  <c r="N1448" i="41"/>
  <c r="N1455" i="41"/>
  <c r="N1458" i="41"/>
  <c r="N1463" i="41"/>
  <c r="N1479" i="41"/>
  <c r="N1480" i="41"/>
  <c r="N1488" i="41"/>
  <c r="N1490" i="41"/>
  <c r="N1495" i="41"/>
  <c r="N1496" i="41"/>
  <c r="N1519" i="41"/>
  <c r="N1528" i="41"/>
  <c r="N1543" i="41"/>
  <c r="N1544" i="41"/>
  <c r="N1548" i="41"/>
  <c r="N1583" i="41"/>
  <c r="N1599" i="41"/>
  <c r="N1600" i="41"/>
  <c r="N1616" i="41"/>
  <c r="N1623" i="41"/>
  <c r="N1639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39" i="41"/>
  <c r="N1848" i="41"/>
  <c r="N1855" i="41"/>
  <c r="N1856" i="41"/>
  <c r="N1863" i="41"/>
  <c r="N1864" i="41"/>
  <c r="N1866" i="41"/>
  <c r="N1879" i="41"/>
  <c r="N1895" i="41"/>
  <c r="N1903" i="41"/>
  <c r="N1904" i="41"/>
  <c r="N1914" i="41"/>
  <c r="N1943" i="41"/>
  <c r="N1951" i="41"/>
  <c r="N1959" i="41"/>
  <c r="N1968" i="41"/>
  <c r="N1984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04" i="41"/>
  <c r="N2119" i="41"/>
  <c r="N2128" i="41"/>
  <c r="N2146" i="41"/>
  <c r="N2151" i="41"/>
  <c r="N2159" i="41"/>
  <c r="N2160" i="41"/>
  <c r="N2168" i="41"/>
  <c r="N2175" i="41"/>
  <c r="N2194" i="41"/>
  <c r="N2199" i="41"/>
  <c r="N2208" i="41"/>
  <c r="N2215" i="41"/>
  <c r="N2216" i="41"/>
  <c r="N2239" i="41"/>
  <c r="N2255" i="41"/>
  <c r="N2263" i="41"/>
  <c r="N2266" i="41"/>
  <c r="N2271" i="41"/>
  <c r="N2288" i="41"/>
  <c r="N2295" i="41"/>
  <c r="N2303" i="41"/>
  <c r="N2304" i="41"/>
  <c r="N2311" i="41"/>
  <c r="N2330" i="41"/>
  <c r="N2343" i="41"/>
  <c r="N2354" i="41"/>
  <c r="N2360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L42" i="41" s="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L437" i="41" s="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 s="1"/>
  <c r="J602" i="41"/>
  <c r="M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L1102" i="41" s="1"/>
  <c r="J1107" i="41"/>
  <c r="M1107" i="41" s="1"/>
  <c r="K1107" i="41"/>
  <c r="J1112" i="41"/>
  <c r="M1112" i="41" s="1"/>
  <c r="K1112" i="41"/>
  <c r="L1112" i="41" s="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 s="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L1442" i="41" s="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L1617" i="41" s="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L1742" i="41" s="1"/>
  <c r="J1747" i="41"/>
  <c r="M1747" i="41" s="1"/>
  <c r="K1747" i="41"/>
  <c r="J1752" i="41"/>
  <c r="M1752" i="41" s="1"/>
  <c r="K1752" i="41"/>
  <c r="J1757" i="41"/>
  <c r="M1757" i="41" s="1"/>
  <c r="K1757" i="41"/>
  <c r="L1757" i="41" s="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L1797" i="41" s="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L1922" i="41" s="1"/>
  <c r="J1927" i="41"/>
  <c r="M1927" i="41" s="1"/>
  <c r="K1927" i="41"/>
  <c r="J1932" i="41"/>
  <c r="M1932" i="41" s="1"/>
  <c r="K1932" i="41"/>
  <c r="J1937" i="41"/>
  <c r="M1937" i="41" s="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L2047" i="41" s="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L2082" i="41" s="1"/>
  <c r="J2087" i="41"/>
  <c r="M2087" i="41" s="1"/>
  <c r="K2087" i="4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M2117" i="41" s="1"/>
  <c r="K2117" i="41"/>
  <c r="L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L2157" i="41" s="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L2217" i="41" s="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L2277" i="41" s="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L2357" i="41" s="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N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L1052" i="41" s="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L1157" i="41" s="1"/>
  <c r="I1162" i="41"/>
  <c r="I1167" i="41"/>
  <c r="I1172" i="41"/>
  <c r="I1177" i="41"/>
  <c r="I1182" i="41"/>
  <c r="I1187" i="41"/>
  <c r="I1192" i="41"/>
  <c r="I1197" i="41"/>
  <c r="I1202" i="41"/>
  <c r="I1207" i="41"/>
  <c r="I1212" i="41"/>
  <c r="L1212" i="41" s="1"/>
  <c r="N1212" i="41" s="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L1512" i="41" s="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L1852" i="41" s="1"/>
  <c r="I1857" i="41"/>
  <c r="I1862" i="41"/>
  <c r="I1867" i="41"/>
  <c r="I1872" i="41"/>
  <c r="I1877" i="41"/>
  <c r="I1882" i="41"/>
  <c r="I1887" i="41"/>
  <c r="L1887" i="41" s="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L1992" i="41" s="1"/>
  <c r="N1992" i="41" s="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L2362" i="41" s="1"/>
  <c r="I2367" i="41"/>
  <c r="I2372" i="41"/>
  <c r="I2377" i="41"/>
  <c r="I2382" i="41"/>
  <c r="K2" i="41"/>
  <c r="I2" i="41"/>
  <c r="AI10" i="41"/>
  <c r="L692" i="41" l="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322" i="4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N1877" i="41"/>
  <c r="L1822" i="41"/>
  <c r="N1822" i="41" s="1"/>
  <c r="L1802" i="41"/>
  <c r="N1802" i="41" s="1"/>
  <c r="L1677" i="41"/>
  <c r="N1677" i="41" s="1"/>
  <c r="L1622" i="4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N2002" i="4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N1622" i="4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5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<sst xmlns="http://schemas.openxmlformats.org/spreadsheetml/2006/main" count="11646" uniqueCount="5008">
  <si>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</si>
  <si>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</si>
  <si>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</si>
  <si>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</si>
  <si>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</si>
  <si>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</si>
  <si>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</si>
  <si>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</si>
  <si>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</si>
  <si>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</si>
  <si>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</si>
  <si>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</si>
  <si>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</si>
  <si>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</si>
  <si>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</si>
  <si>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</si>
  <si>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</si>
  <si>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</si>
  <si>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</si>
  <si>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</si>
  <si>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</si>
  <si>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</si>
  <si>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</si>
  <si>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</si>
  <si>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</si>
  <si>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</si>
  <si>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</si>
  <si>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</si>
  <si>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</si>
  <si>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</si>
  <si>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</si>
  <si>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</si>
  <si>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</si>
  <si>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</si>
  <si>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</si>
  <si>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</si>
  <si>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</si>
  <si>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</si>
  <si>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</si>
  <si>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</si>
  <si>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</si>
  <si>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</si>
  <si>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</si>
  <si>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</si>
  <si>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</si>
  <si>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</si>
  <si>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</si>
  <si>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</si>
  <si>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</si>
  <si>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</si>
  <si>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</si>
  <si>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</si>
  <si>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</si>
  <si>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</si>
  <si>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</si>
  <si>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</si>
  <si>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</si>
  <si>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</si>
  <si>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</si>
  <si>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</si>
  <si>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</si>
  <si>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</si>
  <si>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</si>
  <si>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</si>
  <si>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</si>
  <si>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</si>
  <si>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</si>
  <si>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</si>
  <si>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</si>
  <si>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</si>
  <si>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</si>
  <si>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</si>
  <si>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</si>
  <si>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</si>
  <si>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</si>
  <si>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</si>
  <si>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</si>
  <si>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</si>
  <si>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</si>
  <si>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</si>
  <si>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</si>
  <si>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</si>
  <si>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</si>
  <si>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</si>
  <si>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</si>
  <si>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</si>
  <si>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</si>
  <si>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</si>
  <si>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</si>
  <si>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</si>
  <si>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</si>
  <si>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</si>
  <si>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</si>
  <si>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</si>
  <si>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</si>
  <si>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</si>
  <si>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</si>
  <si>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</si>
  <si>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</si>
  <si>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</si>
  <si>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</si>
  <si>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</si>
  <si>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</si>
  <si>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</si>
  <si>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</si>
  <si>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</si>
  <si>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</si>
  <si>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</si>
  <si>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</si>
  <si>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</si>
  <si>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</si>
  <si>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</si>
  <si>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</si>
  <si>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</si>
  <si>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</si>
  <si>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</si>
  <si>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</si>
  <si>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</si>
  <si>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</si>
  <si>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</si>
  <si>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</si>
  <si>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</si>
  <si>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</si>
  <si>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</si>
  <si>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</si>
  <si>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</si>
  <si>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</si>
  <si>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</si>
  <si>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</si>
  <si>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</si>
  <si>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</si>
  <si>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</si>
  <si>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</si>
  <si>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</si>
  <si>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</si>
  <si>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</si>
  <si>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</si>
  <si>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</si>
  <si>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</si>
  <si>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</si>
  <si>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</si>
  <si>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</si>
  <si>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</si>
  <si>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</si>
  <si>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</si>
  <si>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</si>
  <si>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</si>
  <si>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</si>
  <si>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</si>
  <si>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</si>
  <si>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</si>
  <si>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</si>
  <si>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</si>
  <si>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</si>
  <si>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</si>
  <si>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</si>
  <si>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</si>
  <si>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</si>
  <si>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</si>
  <si>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</si>
  <si>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</si>
  <si>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</si>
  <si>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</si>
  <si>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</si>
  <si>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</si>
  <si>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</si>
  <si>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</si>
  <si>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</si>
  <si>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</si>
  <si>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</si>
  <si>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</si>
  <si>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</si>
  <si>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</si>
  <si>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</si>
  <si>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</si>
  <si>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</si>
  <si>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</si>
  <si>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</si>
  <si>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</si>
  <si>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</si>
  <si>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</si>
  <si>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</si>
  <si>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</si>
  <si>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</si>
  <si>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</si>
  <si>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</si>
  <si>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</si>
  <si>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</si>
  <si>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</si>
  <si>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</si>
  <si>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</si>
  <si>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</si>
  <si>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</si>
  <si>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</si>
  <si>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</si>
  <si>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</si>
  <si>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</si>
  <si>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</si>
  <si>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</si>
  <si>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</si>
  <si>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</si>
  <si>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</si>
  <si>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</si>
  <si>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</si>
  <si>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</si>
  <si>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</si>
  <si>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</si>
  <si>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</si>
  <si>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</si>
  <si>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</si>
  <si>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</si>
  <si>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</si>
  <si>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</si>
  <si>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</si>
  <si>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</si>
  <si>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</si>
  <si>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</si>
  <si>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</si>
  <si>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</si>
  <si>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</si>
  <si>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</si>
  <si>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</si>
  <si>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</si>
  <si>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</si>
  <si>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</si>
  <si>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</si>
  <si>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</si>
  <si>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</si>
  <si>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</si>
  <si>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</si>
  <si>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</si>
  <si>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</si>
  <si>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</si>
  <si>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</si>
  <si>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</si>
  <si>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</si>
  <si>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</si>
  <si>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</si>
  <si>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</si>
  <si>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</si>
  <si>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</si>
  <si>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</si>
  <si>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</si>
  <si>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</si>
  <si>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</si>
  <si>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</si>
  <si>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</si>
  <si>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</si>
  <si>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</si>
  <si>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</si>
  <si>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</si>
  <si>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</si>
  <si>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</si>
  <si>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</si>
  <si>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</si>
  <si>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</si>
  <si>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</si>
  <si>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</si>
  <si>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</si>
  <si>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</si>
  <si>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</si>
  <si>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</si>
  <si>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</si>
  <si>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</si>
  <si>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</si>
  <si>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</si>
  <si>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</si>
  <si>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</si>
  <si>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</si>
  <si>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</si>
  <si>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</si>
  <si>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</si>
  <si>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</si>
  <si>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</si>
  <si>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</si>
  <si>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</si>
  <si>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</si>
  <si>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</si>
  <si>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</si>
  <si>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</si>
  <si>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</si>
  <si>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</si>
  <si>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</si>
  <si>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</si>
  <si>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</si>
  <si>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</si>
  <si>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</si>
  <si>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</si>
  <si>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</si>
  <si>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</si>
  <si>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</si>
  <si>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</si>
  <si>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</si>
  <si>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</si>
  <si>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</si>
  <si>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</si>
  <si>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</si>
  <si>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</si>
  <si>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</si>
  <si>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</si>
  <si>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</si>
  <si>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</si>
  <si>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</si>
  <si>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</si>
  <si>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</si>
  <si>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</si>
  <si>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</si>
  <si>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</si>
  <si>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</si>
  <si>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</si>
  <si>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</si>
  <si>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</si>
  <si>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</si>
  <si>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</si>
  <si>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</si>
  <si>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</si>
  <si>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</si>
  <si>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</si>
  <si>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</si>
  <si>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</si>
  <si>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</si>
  <si>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</si>
  <si>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</si>
  <si>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</si>
  <si>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</si>
  <si>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</si>
  <si>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</si>
  <si>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</si>
  <si>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</si>
  <si>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</si>
  <si>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</si>
  <si>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</si>
  <si>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</si>
  <si>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</si>
  <si>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</si>
  <si>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</si>
  <si>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</si>
  <si>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</si>
  <si>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</si>
  <si>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</si>
  <si>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</si>
  <si>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</si>
  <si>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</si>
  <si>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</si>
  <si>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</si>
  <si>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</si>
  <si>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</si>
  <si>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</si>
  <si>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</si>
  <si>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</si>
  <si>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</si>
  <si>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</si>
  <si>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</si>
  <si>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</si>
  <si>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</si>
  <si>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</si>
  <si>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</si>
  <si>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</si>
  <si>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</si>
  <si>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</si>
  <si>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</si>
  <si>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</si>
  <si>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</si>
  <si>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</si>
  <si>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</si>
  <si>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</si>
  <si>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</si>
  <si>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</si>
  <si>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</si>
  <si>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</si>
  <si>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</si>
  <si>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</si>
  <si>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</si>
  <si>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</si>
  <si>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</si>
  <si>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</si>
  <si>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</si>
  <si>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</si>
  <si>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</si>
  <si>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</si>
  <si>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</si>
  <si>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</si>
  <si>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</si>
  <si>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</si>
  <si>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</si>
  <si>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</si>
  <si>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</si>
  <si>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</si>
  <si>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</si>
  <si>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</si>
  <si>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</si>
  <si>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</si>
  <si>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</si>
  <si>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</si>
  <si>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</si>
  <si>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</si>
  <si>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</si>
  <si>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</si>
  <si>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</si>
  <si>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</si>
  <si>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</si>
  <si>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</si>
  <si>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</si>
  <si>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</si>
  <si>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</si>
  <si>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</si>
  <si>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</si>
  <si>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</si>
  <si>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</si>
  <si>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</si>
  <si>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</si>
  <si>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</si>
  <si>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</si>
  <si>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</si>
  <si>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</si>
  <si>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</si>
  <si>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</si>
  <si>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</si>
  <si>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</si>
  <si>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</si>
  <si>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</si>
  <si>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</si>
  <si>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</si>
  <si>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</si>
  <si>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</si>
  <si>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</si>
  <si>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</si>
  <si>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</si>
  <si>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</si>
  <si>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</si>
  <si>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</si>
  <si>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</si>
  <si>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</si>
  <si>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</si>
  <si>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</si>
  <si>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</si>
  <si>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</si>
  <si>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</si>
  <si>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</si>
  <si>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</si>
  <si>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</si>
  <si>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</si>
  <si>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</si>
  <si>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</si>
  <si>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</si>
  <si>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</si>
  <si>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</si>
  <si>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</si>
  <si>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</si>
  <si>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</si>
  <si>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</si>
  <si>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</si>
  <si>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</si>
  <si>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</si>
  <si>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</si>
  <si>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</si>
  <si>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</si>
  <si>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</si>
  <si>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</si>
  <si>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</si>
  <si>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</si>
  <si>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</si>
  <si>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</si>
  <si>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</si>
  <si>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</si>
  <si>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</si>
  <si>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</si>
  <si>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</si>
  <si>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</si>
  <si>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</si>
  <si>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</si>
  <si>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</si>
  <si>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</si>
  <si>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</si>
  <si>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</si>
  <si>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</si>
  <si>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</si>
  <si>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</si>
  <si>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</si>
  <si>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</si>
  <si>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</si>
  <si>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</si>
  <si>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</si>
  <si>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</si>
  <si>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</si>
  <si>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</si>
  <si>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</si>
  <si>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</si>
  <si>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</si>
  <si>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</si>
  <si>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</si>
  <si>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</si>
  <si>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</si>
  <si>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</si>
  <si>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</si>
  <si>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</si>
  <si>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</si>
  <si>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</si>
  <si>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</si>
  <si>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</si>
  <si>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</si>
  <si>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</si>
  <si>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</si>
  <si>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</si>
  <si>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</si>
  <si>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</si>
  <si>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</si>
  <si>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</si>
  <si>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</si>
  <si>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</si>
  <si>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</si>
  <si>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</si>
  <si>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</si>
  <si>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</si>
  <si>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</si>
  <si>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</si>
  <si>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</si>
  <si>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</si>
  <si>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</si>
  <si>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</si>
  <si>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</si>
  <si>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</si>
  <si>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</si>
  <si>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</si>
  <si>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</si>
  <si>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</si>
  <si>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</si>
  <si>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</si>
  <si>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</si>
  <si>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</si>
  <si>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</si>
  <si>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</si>
  <si>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</si>
  <si>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</si>
  <si>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</si>
  <si>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</si>
  <si>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</si>
  <si>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</si>
  <si>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</si>
  <si>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</si>
  <si>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</si>
  <si>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</si>
  <si>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</si>
  <si>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</si>
  <si>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</si>
  <si>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</si>
  <si>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</si>
  <si>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</si>
  <si>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</si>
  <si>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</si>
  <si>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</si>
  <si>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</si>
  <si>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</si>
  <si>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</si>
  <si>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</si>
  <si>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</si>
  <si>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</si>
  <si>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</si>
  <si>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</si>
  <si>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</si>
  <si>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</si>
  <si>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</si>
  <si>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</si>
  <si>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</si>
  <si>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</si>
  <si>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</si>
  <si>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</si>
  <si>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</si>
  <si>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</si>
  <si>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</si>
  <si>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</si>
  <si>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</si>
  <si>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</si>
  <si>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</si>
  <si>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</si>
  <si>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</si>
  <si>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</si>
  <si>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</si>
  <si>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</si>
  <si>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</si>
  <si>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</si>
  <si>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</si>
  <si>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</si>
  <si>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</si>
  <si>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</si>
  <si>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</si>
  <si>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</si>
  <si>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</si>
  <si>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</si>
  <si>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</si>
  <si>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</si>
  <si>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</si>
  <si>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</si>
  <si>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</si>
  <si>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</si>
  <si>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</si>
  <si>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</si>
  <si>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</si>
  <si>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</si>
  <si>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</si>
  <si>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</si>
  <si>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</si>
  <si>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</si>
  <si>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</si>
  <si>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</si>
  <si>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</si>
  <si>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</si>
  <si>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</si>
  <si>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</si>
  <si>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</si>
  <si>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</si>
  <si>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</si>
  <si>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</si>
  <si>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</si>
  <si>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</si>
  <si>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</si>
  <si>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</si>
  <si>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</si>
  <si>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</si>
  <si>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</si>
  <si>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</si>
  <si>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</si>
  <si>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</si>
  <si>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</si>
  <si>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</si>
  <si>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</si>
  <si>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</si>
  <si>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</si>
  <si>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</si>
  <si>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</si>
  <si>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</si>
  <si>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</si>
  <si>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</si>
  <si>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</si>
  <si>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</si>
  <si>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</si>
  <si>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</si>
  <si>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</si>
  <si>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</si>
  <si>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</si>
  <si>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</si>
  <si>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</si>
  <si>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</si>
  <si>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</si>
  <si>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</si>
  <si>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</si>
  <si>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</si>
  <si>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</si>
  <si>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</si>
  <si>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</si>
  <si>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</si>
  <si>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</si>
  <si>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</si>
  <si>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</si>
  <si>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</si>
  <si>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</si>
  <si>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</si>
  <si>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</si>
  <si>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</si>
  <si>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</si>
  <si>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</si>
  <si>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</si>
  <si>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</si>
  <si>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</si>
  <si>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</si>
  <si>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</si>
  <si>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</si>
  <si>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</si>
  <si>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</si>
  <si>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</si>
  <si>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</si>
  <si>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</si>
  <si>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</si>
  <si>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</si>
  <si>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</si>
  <si>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</si>
  <si>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</si>
  <si>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</si>
  <si>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</si>
  <si>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</si>
  <si>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</si>
  <si>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</si>
  <si>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</si>
  <si>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</si>
  <si>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</si>
  <si>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</si>
  <si>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</si>
  <si>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</si>
  <si>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</si>
  <si>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</si>
  <si>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</si>
  <si>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</si>
  <si>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</si>
  <si>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</si>
  <si>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</si>
  <si>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</si>
  <si>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</si>
  <si>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</si>
  <si>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</si>
  <si>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</si>
  <si>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</si>
  <si>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</si>
  <si>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</si>
  <si>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</si>
  <si>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</si>
  <si>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</si>
  <si>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</si>
  <si>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</si>
  <si>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</si>
  <si>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</si>
  <si>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</si>
  <si>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</si>
  <si>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</si>
  <si>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</si>
  <si>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</si>
  <si>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</si>
  <si>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</si>
  <si>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</si>
  <si>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</si>
  <si>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</si>
  <si>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</si>
  <si>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</si>
  <si>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</si>
  <si>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</si>
  <si>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</si>
  <si>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</si>
  <si>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</si>
  <si>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</si>
  <si>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</si>
  <si>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</si>
  <si>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</si>
  <si>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</si>
  <si>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</si>
  <si>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</si>
  <si>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</si>
  <si>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</si>
  <si>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</si>
  <si>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</si>
  <si>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</si>
  <si>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</si>
  <si>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</si>
  <si>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</si>
  <si>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</si>
  <si>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</si>
  <si>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</si>
  <si>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</si>
  <si>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</si>
  <si>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</si>
  <si>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</si>
  <si>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</si>
  <si>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</si>
  <si>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</si>
  <si>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</si>
  <si>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</si>
  <si>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</si>
  <si>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</si>
  <si>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</si>
  <si>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</si>
  <si>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</si>
  <si>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</si>
  <si>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</si>
  <si>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</si>
  <si>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</si>
  <si>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</si>
  <si>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</si>
  <si>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</si>
  <si>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</si>
  <si>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</si>
  <si>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</si>
  <si>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</si>
  <si>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</si>
  <si>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</si>
  <si>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</si>
  <si>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</si>
  <si>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</si>
  <si>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</si>
  <si>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</si>
  <si>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</si>
  <si>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</si>
  <si>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</si>
  <si>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</si>
  <si>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</si>
  <si>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</si>
  <si>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</si>
  <si>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</si>
  <si>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</si>
  <si>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</si>
  <si>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</si>
  <si>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</si>
  <si>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</si>
  <si>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</si>
  <si>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</si>
  <si>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</si>
  <si>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</si>
  <si>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</si>
  <si>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</si>
  <si>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</si>
  <si>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</si>
  <si>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</si>
  <si>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</si>
  <si>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</si>
  <si>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</si>
  <si>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</si>
  <si>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</si>
  <si>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</si>
  <si>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</si>
  <si>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</si>
  <si>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</si>
  <si>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</si>
  <si>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</si>
  <si>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</si>
  <si>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</si>
  <si>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</si>
  <si>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</si>
  <si>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</si>
  <si>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</si>
  <si>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</si>
  <si>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</si>
  <si>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</si>
  <si>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</si>
  <si>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</si>
  <si>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</si>
  <si>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</si>
  <si>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</si>
  <si>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</si>
  <si>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</si>
  <si>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</si>
  <si>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</si>
  <si>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</si>
  <si>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</si>
  <si>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</si>
  <si>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</si>
  <si>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</si>
  <si>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</si>
  <si>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</si>
  <si>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</si>
  <si>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</si>
  <si>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</si>
  <si>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</si>
  <si>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</si>
  <si>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</si>
  <si>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</si>
  <si>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</si>
  <si>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</si>
  <si>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</si>
  <si>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</si>
  <si>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</si>
  <si>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</si>
  <si>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</si>
  <si>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</si>
  <si>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</si>
  <si>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</si>
  <si>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</si>
  <si>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</si>
  <si>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</si>
  <si>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</si>
  <si>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</si>
  <si>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</si>
  <si>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</si>
  <si>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</si>
  <si>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</si>
  <si>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</si>
  <si>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</si>
  <si>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</si>
  <si>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</si>
  <si>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</si>
  <si>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</si>
  <si>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</si>
  <si>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</si>
  <si>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</si>
  <si>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</si>
  <si>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</si>
  <si>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</si>
  <si>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</si>
  <si>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</si>
  <si>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</si>
  <si>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</si>
  <si>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</si>
  <si>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</si>
  <si>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</si>
  <si>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</si>
  <si>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</si>
  <si>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</si>
  <si>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</si>
  <si>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</si>
  <si>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</si>
  <si>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</si>
  <si>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</si>
  <si>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</si>
  <si>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</si>
  <si>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</si>
  <si>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</si>
  <si>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</si>
  <si>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</si>
  <si>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</si>
  <si>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</si>
  <si>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</si>
  <si>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</si>
  <si>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</si>
  <si>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</si>
  <si>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</si>
  <si>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</si>
  <si>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</si>
  <si>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</si>
  <si>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</si>
  <si>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</si>
  <si>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</si>
  <si>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</si>
  <si>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</si>
  <si>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</si>
  <si>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</si>
  <si>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</si>
  <si>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</si>
  <si>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</si>
  <si>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</si>
  <si>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</si>
  <si>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</si>
  <si>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</si>
  <si>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</si>
  <si>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</si>
  <si>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</si>
  <si>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</si>
  <si>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</si>
  <si>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</si>
  <si>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</si>
  <si>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</si>
  <si>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</si>
  <si>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</si>
  <si>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</si>
  <si>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</si>
  <si>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</si>
  <si>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</si>
  <si>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</si>
  <si>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</si>
  <si>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</si>
  <si>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</si>
  <si>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</si>
  <si>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</si>
  <si>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</si>
  <si>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</si>
  <si>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</si>
  <si>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</si>
  <si>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</si>
  <si>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</si>
  <si>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</si>
  <si>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</si>
  <si>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</si>
  <si>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</si>
  <si>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</si>
  <si>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</si>
  <si>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</si>
  <si>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</si>
  <si>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</si>
  <si>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</si>
  <si>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</si>
  <si>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</si>
  <si>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</si>
  <si>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</si>
  <si>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</si>
  <si>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</si>
  <si>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</si>
  <si>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</si>
  <si>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</si>
  <si>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</si>
  <si>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</si>
  <si>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</si>
  <si>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</si>
  <si>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</si>
  <si>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</si>
  <si>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</si>
  <si>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</si>
  <si>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</si>
  <si>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</si>
  <si>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</si>
  <si>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</si>
  <si>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</si>
  <si>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</si>
  <si>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</si>
  <si>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</si>
  <si>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</si>
  <si>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</si>
  <si>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</si>
  <si>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</si>
  <si>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</si>
  <si>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</si>
  <si>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</si>
  <si>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</si>
  <si>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</si>
  <si>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</si>
  <si>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</si>
  <si>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</si>
  <si>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</si>
  <si>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</si>
  <si>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</si>
  <si>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</si>
  <si>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</si>
  <si>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</si>
  <si>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</si>
  <si>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</si>
  <si>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</si>
  <si>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</si>
  <si>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</si>
  <si>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</si>
  <si>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</si>
  <si>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</si>
  <si>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</si>
  <si>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</si>
  <si>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</si>
  <si>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</si>
  <si>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</si>
  <si>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</si>
  <si>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</si>
  <si>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</si>
  <si>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</si>
  <si>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</si>
  <si>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</si>
  <si>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</si>
  <si>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</si>
  <si>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</si>
  <si>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</si>
  <si>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</si>
  <si>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</si>
  <si>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</si>
  <si>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</si>
  <si>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</si>
  <si>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</si>
  <si>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</si>
  <si>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</si>
  <si>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</si>
  <si>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</si>
  <si>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</si>
  <si>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</si>
  <si>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</si>
  <si>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</si>
  <si>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</si>
  <si>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</si>
  <si>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</si>
  <si>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</si>
  <si>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</si>
  <si>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</si>
  <si>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</si>
  <si>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</si>
  <si>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</si>
  <si>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</si>
  <si>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</si>
  <si>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</si>
  <si>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</si>
  <si>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</si>
  <si>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</si>
  <si>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</si>
  <si>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</si>
  <si>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</si>
  <si>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</si>
  <si>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</si>
  <si>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</si>
  <si>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</si>
  <si>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</si>
  <si>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</si>
  <si>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</si>
  <si>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</si>
  <si>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</si>
  <si>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</si>
  <si>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</si>
  <si>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</si>
  <si>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</si>
  <si>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</si>
  <si>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</si>
  <si>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</si>
  <si>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</si>
  <si>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</si>
  <si>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</si>
  <si>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</si>
  <si>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</si>
  <si>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</si>
  <si>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</si>
  <si>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</si>
  <si>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</si>
  <si>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</si>
  <si>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</si>
  <si>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</si>
  <si>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</si>
  <si>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</si>
  <si>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</si>
  <si>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</si>
  <si>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</si>
  <si>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</si>
  <si>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</si>
  <si>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</si>
  <si>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</si>
  <si>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</si>
  <si>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</si>
  <si>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</si>
  <si>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</si>
  <si>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</si>
  <si>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</si>
  <si>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</si>
  <si>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</si>
  <si>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</si>
  <si>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</si>
  <si>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</si>
  <si>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</si>
  <si>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</si>
  <si>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</si>
  <si>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</si>
  <si>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</si>
  <si>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</si>
  <si>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</si>
  <si>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</si>
  <si>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</si>
  <si>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</si>
  <si>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</si>
  <si>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</si>
  <si>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</si>
  <si>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</si>
  <si>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</si>
  <si>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</si>
  <si>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</si>
  <si>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</si>
  <si>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</si>
  <si>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</si>
  <si>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</si>
  <si>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</si>
  <si>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</si>
  <si>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</si>
  <si>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</si>
  <si>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</si>
  <si>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</si>
  <si>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</si>
  <si>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</si>
  <si>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</si>
  <si>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</si>
  <si>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</si>
  <si>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</si>
  <si>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</si>
  <si>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</si>
  <si>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</si>
  <si>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</si>
  <si>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</si>
  <si>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</si>
  <si>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</si>
  <si>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</si>
  <si>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</si>
  <si>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</si>
  <si>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</si>
  <si>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</si>
  <si>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</si>
  <si>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</si>
  <si>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</si>
  <si>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</si>
  <si>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</si>
  <si>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</si>
  <si>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</si>
  <si>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</si>
  <si>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</si>
  <si>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</si>
  <si>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</si>
  <si>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</si>
  <si>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</si>
  <si>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</si>
  <si>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</si>
  <si>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</si>
  <si>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</si>
  <si>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</si>
  <si>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</si>
  <si>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</si>
  <si>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</si>
  <si>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</si>
  <si>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</si>
  <si>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</si>
  <si>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</si>
  <si>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</si>
  <si>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</si>
  <si>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</si>
  <si>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</si>
  <si>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</si>
  <si>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</si>
  <si>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</si>
  <si>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</si>
  <si>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</si>
  <si>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</si>
  <si>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</si>
  <si>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</si>
  <si>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</si>
  <si>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</si>
  <si>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</si>
  <si>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</si>
  <si>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</si>
  <si>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</si>
  <si>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</si>
  <si>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</si>
  <si>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</si>
  <si>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</si>
  <si>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</si>
  <si>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</si>
  <si>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</si>
  <si>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</si>
  <si>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</si>
  <si>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</si>
  <si>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</si>
  <si>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</si>
  <si>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</si>
  <si>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</si>
  <si>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</si>
  <si>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</si>
  <si>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</si>
  <si>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</si>
  <si>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</si>
  <si>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</si>
  <si>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</si>
  <si>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</si>
  <si>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</si>
  <si>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</si>
  <si>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</si>
  <si>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</si>
  <si>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</si>
  <si>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</si>
  <si>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</si>
  <si>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</si>
  <si>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</si>
  <si>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</si>
  <si>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</si>
  <si>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</si>
  <si>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</si>
  <si>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</si>
  <si>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</si>
  <si>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</si>
  <si>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</si>
  <si>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</si>
  <si>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</si>
  <si>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</si>
  <si>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</si>
  <si>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</si>
  <si>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</si>
  <si>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</si>
  <si>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</si>
  <si>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</si>
  <si>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</si>
  <si>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</si>
  <si>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</si>
  <si>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</si>
  <si>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</si>
  <si>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</si>
  <si>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</si>
  <si>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</si>
  <si>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</si>
  <si>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</si>
  <si>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</si>
  <si>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</si>
  <si>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</si>
  <si>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</si>
  <si>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</si>
  <si>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</si>
  <si>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</si>
  <si>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</si>
  <si>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</si>
  <si>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</si>
  <si>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</si>
  <si>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</si>
  <si>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</si>
  <si>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</si>
  <si>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</si>
  <si>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</si>
  <si>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</si>
  <si>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</si>
  <si>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</si>
  <si>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</si>
  <si>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</si>
  <si>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</si>
  <si>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</si>
  <si>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</si>
  <si>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</si>
  <si>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</si>
  <si>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</si>
  <si>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</si>
  <si>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</si>
  <si>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</si>
  <si>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</si>
  <si>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</si>
  <si>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</si>
  <si>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</si>
  <si>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</si>
  <si>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</si>
  <si>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</si>
  <si>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</si>
  <si>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</si>
  <si>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</si>
  <si>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</si>
  <si>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</si>
  <si>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</si>
  <si>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</si>
  <si>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</si>
  <si>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</si>
  <si>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</si>
  <si>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</si>
  <si>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</si>
  <si>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</si>
  <si>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</si>
  <si>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</si>
  <si>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</si>
  <si>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</si>
  <si>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</si>
  <si>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</si>
  <si>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</si>
  <si>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</si>
  <si>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</si>
  <si>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</si>
  <si>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</si>
  <si>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</si>
  <si>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</si>
  <si>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</si>
  <si>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</si>
  <si>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</si>
  <si>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</si>
  <si>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</si>
  <si>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</si>
  <si>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</si>
  <si>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</si>
  <si>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</si>
  <si>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</si>
  <si>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</si>
  <si>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</si>
  <si>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</si>
  <si>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</si>
  <si>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</si>
  <si>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</si>
  <si>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</si>
  <si>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</si>
  <si>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</si>
  <si>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</si>
  <si>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</si>
  <si>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</si>
  <si>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</si>
  <si>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</si>
  <si>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</si>
  <si>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</si>
  <si>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</si>
  <si>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</si>
  <si>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</si>
  <si>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</si>
  <si>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</si>
  <si>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</si>
  <si>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</si>
  <si>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</si>
  <si>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</si>
  <si>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</si>
  <si>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</si>
  <si>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</si>
  <si>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</si>
  <si>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</si>
  <si>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</si>
  <si>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</si>
  <si>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</si>
  <si>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</si>
  <si>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</si>
  <si>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</si>
  <si>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</si>
  <si>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</si>
  <si>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</si>
  <si>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</si>
  <si>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</si>
  <si>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</si>
  <si>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</si>
  <si>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</si>
  <si>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</si>
  <si>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</si>
  <si>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</si>
  <si>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</si>
  <si>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</si>
  <si>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</si>
  <si>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</si>
  <si>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</si>
  <si>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</si>
  <si>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</si>
  <si>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</si>
  <si>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</si>
  <si>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</si>
  <si>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</si>
  <si>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</si>
  <si>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</si>
  <si>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</si>
  <si>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</si>
  <si>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</si>
  <si>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</si>
  <si>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</si>
  <si>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</si>
  <si>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</si>
  <si>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</si>
  <si>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</si>
  <si>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</si>
  <si>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</si>
  <si>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</si>
  <si>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</si>
  <si>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</si>
  <si>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</si>
  <si>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</si>
  <si>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</si>
  <si>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</si>
  <si>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</si>
  <si>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</si>
  <si>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</si>
  <si>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</si>
  <si>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</si>
  <si>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</si>
  <si>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</si>
  <si>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</si>
  <si>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</si>
  <si>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</si>
  <si>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</si>
  <si>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</si>
  <si>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</si>
  <si>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</si>
  <si>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</si>
  <si>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</si>
  <si>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</si>
  <si>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</si>
  <si>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</si>
  <si>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</si>
  <si>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</si>
  <si>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</si>
  <si>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</si>
  <si>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</si>
  <si>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</si>
  <si>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</si>
  <si>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</si>
  <si>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</si>
  <si>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</si>
  <si>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</si>
  <si>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</si>
  <si>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</si>
  <si>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</si>
  <si>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</si>
  <si>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</si>
  <si>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</si>
  <si>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</si>
  <si>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</si>
  <si>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</si>
  <si>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</si>
  <si>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</si>
  <si>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</si>
  <si>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</si>
  <si>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</si>
  <si>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</si>
  <si>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</si>
  <si>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</si>
  <si>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</si>
  <si>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</si>
  <si>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</si>
  <si>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</si>
  <si>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</si>
  <si>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</si>
  <si>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</si>
  <si>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</si>
  <si>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</si>
  <si>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</si>
  <si>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</si>
  <si>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</si>
  <si>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</si>
  <si>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</si>
  <si>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</si>
  <si>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</si>
  <si>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</si>
  <si>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</si>
  <si>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</si>
  <si>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</si>
  <si>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</si>
  <si>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</si>
  <si>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</si>
  <si>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</si>
  <si>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</si>
  <si>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</si>
  <si>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</si>
  <si>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</si>
  <si>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</si>
  <si>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</si>
  <si>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</si>
  <si>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</si>
  <si>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</si>
  <si>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</si>
  <si>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</si>
  <si>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</si>
  <si>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</si>
  <si>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</si>
  <si>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</si>
  <si>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</si>
  <si>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</si>
  <si>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</si>
  <si>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</si>
  <si>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</si>
  <si>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</si>
  <si>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</si>
  <si>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</si>
  <si>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</si>
  <si>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</si>
  <si>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</si>
  <si>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</si>
  <si>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</si>
  <si>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</si>
  <si>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</si>
  <si>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</si>
  <si>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</si>
  <si>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</si>
  <si>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</si>
  <si>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</si>
  <si>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</si>
  <si>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</si>
  <si>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</si>
  <si>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</si>
  <si>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</si>
  <si>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</si>
  <si>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</si>
  <si>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</si>
  <si>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</si>
  <si>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</si>
  <si>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</si>
  <si>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</si>
  <si>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</si>
  <si>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</si>
  <si>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</si>
  <si>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</si>
  <si>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</si>
  <si>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</si>
  <si>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</si>
  <si>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</si>
  <si>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</si>
  <si>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</si>
  <si>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</si>
  <si>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</si>
  <si>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</si>
  <si>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</si>
  <si>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</si>
  <si>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</si>
  <si>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</si>
  <si>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</si>
  <si>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</si>
  <si>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</si>
  <si>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</si>
  <si>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</si>
  <si>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</si>
  <si>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</si>
  <si>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</si>
  <si>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</si>
  <si>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</si>
  <si>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</si>
  <si>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</si>
  <si>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</si>
  <si>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</si>
  <si>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</si>
  <si>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</si>
  <si>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</si>
  <si>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</si>
  <si>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</si>
  <si>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</si>
  <si>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</si>
  <si>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</si>
  <si>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</si>
  <si>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</si>
  <si>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</si>
  <si>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</si>
  <si>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</si>
  <si>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</si>
  <si>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</si>
  <si>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</si>
  <si>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</si>
  <si>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</si>
  <si>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</si>
  <si>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</si>
  <si>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</si>
  <si>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</si>
  <si>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</si>
  <si>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</si>
  <si>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</si>
  <si>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</si>
  <si>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</si>
  <si>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</si>
  <si>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</si>
  <si>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</si>
  <si>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</si>
  <si>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</si>
  <si>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</si>
  <si>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</si>
  <si>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</si>
  <si>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</si>
  <si>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</si>
  <si>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</si>
  <si>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</si>
  <si>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</si>
  <si>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</si>
  <si>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</si>
  <si>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</si>
  <si>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</si>
  <si>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</si>
  <si>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</si>
  <si>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</si>
  <si>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</si>
  <si>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</si>
  <si>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</si>
  <si>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</si>
  <si>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</si>
  <si>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</si>
  <si>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</si>
  <si>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</si>
  <si>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</si>
  <si>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</si>
  <si>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</si>
  <si>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</si>
  <si>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</si>
  <si>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</si>
  <si>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</si>
  <si>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</si>
  <si>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</si>
  <si>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</si>
  <si>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</si>
  <si>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</si>
  <si>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</si>
  <si>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</si>
  <si>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</si>
  <si>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</si>
  <si>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</si>
  <si>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</si>
  <si>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</si>
  <si>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</si>
  <si>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</si>
  <si>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</si>
  <si>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</si>
  <si>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</si>
  <si>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</si>
  <si>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</si>
  <si>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</si>
  <si>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</si>
  <si>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</si>
  <si>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</si>
  <si>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</si>
  <si>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</si>
  <si>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</si>
  <si>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</si>
  <si>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</si>
  <si>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</si>
  <si>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</si>
  <si>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</si>
  <si>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</si>
  <si>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</si>
  <si>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</si>
  <si>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</si>
  <si>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</si>
  <si>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</si>
  <si>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</si>
  <si>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</si>
  <si>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</si>
  <si>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</si>
  <si>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</si>
  <si>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</si>
  <si>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</si>
  <si>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</si>
  <si>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</si>
  <si>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</si>
  <si>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</si>
  <si>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</si>
  <si>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</si>
  <si>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</si>
  <si>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</si>
  <si>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</si>
  <si>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</si>
  <si>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</si>
  <si>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</si>
  <si>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</si>
  <si>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</si>
  <si>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</si>
  <si>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</si>
  <si>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</si>
  <si>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</si>
  <si>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</si>
  <si>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</si>
  <si>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</si>
  <si>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</si>
  <si>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</si>
  <si>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</si>
  <si>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</si>
  <si>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</si>
  <si>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</si>
  <si>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</si>
  <si>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</si>
  <si>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</si>
  <si>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</si>
  <si>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</si>
  <si>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</si>
  <si>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</si>
  <si>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</si>
  <si>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</si>
  <si>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</si>
  <si>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</si>
  <si>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</si>
  <si>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</si>
  <si>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</si>
  <si>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</si>
  <si>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</si>
  <si>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</si>
  <si>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</si>
  <si>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</si>
  <si>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</si>
  <si>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</si>
  <si>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</si>
  <si>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</si>
  <si>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</si>
  <si>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</si>
  <si>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</si>
  <si>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</si>
  <si>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</si>
  <si>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</si>
  <si>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</si>
  <si>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</si>
  <si>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</si>
  <si>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</si>
  <si>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</si>
  <si>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</si>
  <si>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</si>
  <si>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</si>
  <si>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</si>
  <si>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</si>
  <si>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</si>
  <si>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</si>
  <si>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</si>
  <si>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</si>
  <si>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</si>
  <si>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</si>
  <si>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</si>
  <si>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</si>
  <si>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</si>
  <si>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</si>
  <si>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</si>
  <si>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</si>
  <si>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</si>
  <si>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</si>
  <si>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</si>
  <si>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</si>
  <si>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</si>
  <si>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</si>
  <si>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</si>
  <si>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</si>
  <si>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</si>
  <si>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</si>
  <si>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</si>
  <si>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</si>
  <si>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</si>
  <si>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</si>
  <si>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</si>
  <si>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</si>
  <si>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</si>
  <si>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</si>
  <si>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</si>
  <si>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</si>
  <si>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</si>
  <si>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</si>
  <si>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</si>
  <si>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</si>
  <si>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</si>
  <si>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</si>
  <si>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</si>
  <si>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</si>
  <si>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</si>
  <si>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</si>
  <si>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</si>
  <si>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</si>
  <si>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</si>
  <si>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</si>
  <si>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</si>
  <si>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</si>
  <si>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</si>
  <si>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</si>
  <si>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</si>
  <si>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</si>
  <si>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</si>
  <si>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</si>
  <si>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</si>
  <si>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</si>
  <si>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</si>
  <si>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</si>
  <si>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</si>
  <si>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</si>
  <si>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</si>
  <si>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</si>
  <si>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</si>
  <si>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</si>
  <si>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</si>
  <si>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</si>
  <si>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</si>
  <si>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</si>
  <si>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</si>
  <si>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</si>
  <si>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</si>
  <si>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</si>
  <si>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</si>
  <si>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</si>
  <si>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</si>
  <si>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</si>
  <si>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</si>
  <si>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</si>
  <si>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</si>
  <si>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</si>
  <si>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</si>
  <si>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</si>
  <si>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</si>
  <si>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</si>
  <si>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</si>
  <si>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</si>
  <si>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</si>
  <si>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</si>
  <si>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</si>
  <si>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</si>
  <si>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</si>
  <si>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</si>
  <si>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</si>
  <si>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</si>
  <si>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</si>
  <si>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</si>
  <si>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</si>
  <si>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</si>
  <si>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</si>
  <si>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</si>
  <si>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</si>
  <si>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</si>
  <si>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</si>
  <si>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</si>
  <si>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</si>
  <si>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</si>
  <si>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</si>
  <si>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</si>
  <si>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</si>
  <si>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</si>
  <si>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</si>
  <si>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</si>
  <si>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</si>
  <si>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</si>
  <si>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</si>
  <si>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</si>
  <si>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</si>
  <si>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</si>
  <si>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</si>
  <si>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</si>
  <si>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</si>
  <si>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</si>
  <si>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</si>
  <si>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</si>
  <si>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</si>
  <si>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</si>
  <si>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</si>
  <si>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</si>
  <si>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</si>
  <si>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</si>
  <si>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</si>
  <si>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</si>
  <si>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</si>
  <si>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</si>
  <si>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</si>
  <si>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</si>
  <si>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</si>
  <si>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</si>
  <si>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</si>
  <si>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</si>
  <si>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</si>
  <si>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</si>
  <si>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</si>
  <si>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</si>
  <si>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</si>
  <si>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</si>
  <si>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</si>
  <si>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</si>
  <si>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</si>
  <si>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</si>
  <si>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</si>
  <si>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</si>
  <si>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</si>
  <si>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</si>
  <si>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</si>
  <si>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</si>
  <si>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</si>
  <si>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</si>
  <si>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</si>
  <si>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</si>
  <si>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</si>
  <si>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</si>
  <si>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</si>
  <si>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</si>
  <si>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</si>
  <si>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</si>
  <si>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</si>
  <si>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</si>
  <si>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</si>
  <si>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</si>
  <si>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</si>
  <si>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</si>
  <si>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</si>
  <si>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</si>
  <si>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</si>
  <si>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</si>
  <si>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</si>
  <si>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</si>
  <si>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</si>
  <si>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</si>
  <si>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</si>
  <si>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</si>
  <si>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</si>
  <si>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</si>
  <si>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</si>
  <si>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</si>
  <si>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</si>
  <si>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</si>
  <si>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</si>
  <si>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</si>
  <si>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</si>
  <si>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</si>
  <si>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</si>
  <si>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</si>
  <si>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</si>
  <si>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</si>
  <si>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</si>
  <si>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</si>
  <si>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</si>
  <si>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</si>
  <si>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</si>
  <si>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</si>
  <si>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</si>
  <si>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</si>
  <si>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</si>
  <si>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</si>
  <si>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</si>
  <si>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</si>
  <si>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</si>
  <si>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</si>
  <si>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</si>
  <si>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</si>
  <si>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</si>
  <si>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</si>
  <si>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</si>
  <si>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</si>
  <si>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</si>
  <si>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</si>
  <si>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</si>
  <si>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</si>
  <si>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</si>
  <si>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</si>
  <si>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</si>
  <si>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</si>
  <si>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</si>
  <si>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</si>
  <si>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</si>
  <si>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</si>
  <si>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</si>
  <si>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</si>
  <si>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</si>
  <si>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</si>
  <si>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</si>
  <si>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</si>
  <si>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</si>
  <si>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</si>
  <si>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</si>
  <si>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</si>
  <si>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</si>
  <si>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</si>
  <si>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</si>
  <si>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</si>
  <si>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</si>
  <si>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</si>
  <si>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</si>
  <si>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</si>
  <si>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</si>
  <si>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</si>
  <si>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</si>
  <si>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</si>
  <si>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</si>
  <si>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</si>
  <si>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</si>
  <si>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</si>
  <si>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</si>
  <si>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</si>
  <si>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</si>
  <si>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</si>
  <si>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</si>
  <si>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</si>
  <si>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</si>
  <si>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</si>
  <si>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</si>
  <si>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</si>
  <si>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</si>
  <si>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</si>
  <si>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</si>
  <si>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</si>
  <si>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</si>
  <si>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</si>
  <si>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</si>
  <si>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</si>
  <si>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</si>
  <si>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</si>
  <si>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</si>
  <si>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</si>
  <si>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</si>
  <si>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</si>
  <si>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</si>
  <si>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</si>
  <si>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</si>
  <si>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</si>
  <si>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</si>
  <si>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</si>
  <si>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</si>
  <si>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</si>
  <si>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</si>
  <si>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</si>
  <si>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</si>
  <si>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</si>
  <si>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</si>
  <si>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</si>
  <si>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</si>
  <si>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</si>
  <si>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</si>
  <si>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</si>
  <si>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</si>
  <si>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</si>
  <si>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</si>
  <si>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</si>
  <si>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</si>
  <si>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</si>
  <si>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</si>
  <si>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</si>
  <si>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</si>
  <si>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</si>
  <si>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</si>
  <si>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</si>
  <si>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</si>
  <si>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</si>
  <si>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</si>
  <si>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</si>
  <si>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</si>
  <si>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</si>
  <si>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</si>
  <si>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</si>
  <si>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</si>
  <si>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</si>
  <si>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</si>
  <si>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</si>
  <si>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</si>
  <si>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</si>
  <si>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</si>
  <si>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</si>
  <si>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</si>
  <si>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</si>
  <si>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</si>
  <si>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</si>
  <si>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</si>
  <si>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</si>
  <si>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</si>
  <si>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</si>
  <si>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</si>
  <si>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</si>
  <si>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</si>
  <si>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</si>
  <si>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</si>
  <si>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</si>
  <si>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</si>
  <si>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</si>
  <si>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</si>
  <si>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</si>
  <si>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</si>
  <si>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</si>
  <si>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</si>
  <si>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</si>
  <si>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</si>
  <si>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</si>
  <si>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</si>
  <si>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</si>
  <si>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</si>
  <si>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</si>
  <si>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</si>
  <si>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</si>
  <si>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</si>
  <si>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</si>
  <si>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</si>
  <si>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</si>
  <si>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</si>
  <si>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</si>
  <si>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</si>
  <si>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</si>
  <si>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</si>
  <si>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</si>
  <si>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</si>
  <si>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</si>
  <si>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</si>
  <si>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</si>
  <si>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</si>
  <si>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</si>
  <si>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</si>
  <si>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</si>
  <si>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</si>
  <si>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</si>
  <si>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</si>
  <si>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</si>
  <si>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</si>
  <si>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</si>
  <si>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</si>
  <si>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</si>
  <si>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</si>
  <si>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</si>
  <si>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</si>
  <si>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</si>
  <si>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</si>
  <si>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</si>
  <si>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</si>
  <si>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</si>
  <si>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</si>
  <si>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</si>
  <si>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</si>
  <si>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</si>
  <si>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</si>
  <si>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</si>
  <si>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</si>
  <si>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</si>
  <si>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</si>
  <si>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</si>
  <si>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</si>
  <si>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</si>
  <si>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</si>
  <si>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</si>
  <si>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</si>
  <si>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</si>
  <si>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</si>
  <si>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</si>
  <si>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</si>
  <si>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</si>
  <si>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</si>
  <si>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</si>
  <si>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</si>
  <si>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</si>
  <si>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</si>
  <si>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</si>
  <si>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</si>
  <si>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</si>
  <si>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</si>
  <si>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</si>
  <si>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</si>
  <si>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</si>
  <si>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</si>
  <si>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</si>
  <si>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</si>
  <si>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</si>
  <si>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</si>
  <si>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</si>
  <si>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</si>
  <si>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</si>
  <si>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</si>
  <si>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</si>
  <si>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</si>
  <si>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</si>
  <si>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</si>
  <si>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</si>
  <si>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</si>
  <si>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</si>
  <si>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</si>
  <si>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</si>
  <si>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</si>
  <si>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</si>
  <si>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</si>
  <si>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</si>
  <si>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</si>
  <si>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</si>
  <si>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</si>
  <si>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</si>
  <si>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</si>
  <si>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</si>
  <si>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</si>
  <si>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</si>
  <si>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</si>
  <si>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</si>
  <si>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</si>
  <si>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</si>
  <si>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</si>
  <si>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</si>
  <si>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</si>
  <si>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</si>
  <si>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</si>
  <si>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</si>
  <si>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</si>
  <si>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</si>
  <si>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</si>
  <si>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</si>
  <si>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</si>
  <si>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</si>
  <si>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</si>
  <si>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</si>
  <si>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</si>
  <si>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</si>
  <si>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</si>
  <si>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</si>
  <si>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</si>
  <si>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</si>
  <si>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</si>
  <si>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</si>
  <si>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</si>
  <si>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</si>
  <si>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</si>
  <si>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</si>
  <si>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</si>
  <si>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</si>
  <si>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</si>
  <si>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</si>
  <si>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</si>
  <si>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</si>
  <si>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</si>
  <si>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</si>
  <si>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</si>
  <si>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</si>
  <si>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</si>
  <si>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</si>
  <si>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</si>
  <si>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</si>
  <si>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</si>
  <si>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</si>
  <si>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</si>
  <si>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</si>
  <si>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</si>
  <si>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</si>
  <si>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</si>
  <si>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</si>
  <si>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</si>
  <si>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</si>
  <si>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</si>
  <si>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</si>
  <si>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</si>
  <si>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</si>
  <si>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</si>
  <si>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</si>
  <si>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</si>
  <si>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</si>
  <si>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</si>
  <si>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</si>
  <si>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</si>
  <si>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</si>
  <si>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</si>
  <si>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</si>
  <si>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</si>
  <si>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</si>
  <si>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</si>
  <si>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</si>
  <si>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</si>
  <si>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</si>
  <si>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</si>
  <si>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</si>
  <si>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</si>
  <si>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</si>
  <si>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</si>
  <si>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</si>
  <si>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</si>
  <si>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</si>
  <si>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</si>
  <si>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</si>
  <si>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</si>
  <si>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</si>
  <si>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</si>
  <si>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</si>
  <si>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</si>
  <si>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</si>
  <si>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</si>
  <si>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</si>
  <si>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</si>
  <si>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</si>
  <si>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</si>
  <si>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</si>
  <si>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</si>
  <si>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</si>
  <si>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</si>
  <si>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</si>
  <si>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</si>
  <si>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</si>
  <si>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</si>
  <si>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</si>
  <si>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</si>
  <si>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</si>
  <si>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</si>
  <si>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</si>
  <si>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</si>
  <si>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</si>
  <si>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</si>
  <si>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</si>
  <si>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</si>
  <si>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</si>
  <si>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</si>
  <si>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</si>
  <si>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</si>
  <si>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</si>
  <si>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</si>
  <si>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</si>
  <si>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</si>
  <si>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</si>
  <si>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</si>
  <si>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</si>
  <si>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</si>
  <si>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</si>
  <si>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</si>
  <si>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</si>
  <si>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</si>
  <si>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</si>
  <si>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</si>
  <si>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</si>
  <si>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</si>
  <si>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</si>
  <si>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</si>
  <si>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</si>
  <si>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</si>
  <si>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</si>
  <si>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</si>
  <si>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</si>
  <si>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</si>
  <si>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</si>
  <si>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</si>
  <si>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</si>
  <si>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</si>
  <si>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</si>
  <si>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</si>
  <si>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</si>
  <si>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</si>
  <si>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</si>
  <si>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</si>
  <si>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</si>
  <si>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</si>
  <si>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</si>
  <si>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</si>
  <si>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</si>
  <si>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</si>
  <si>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</si>
  <si>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</si>
  <si>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</si>
  <si>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</si>
  <si>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</si>
  <si>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</si>
  <si>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</si>
  <si>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</si>
  <si>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</si>
  <si>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</si>
  <si>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</si>
  <si>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</si>
  <si>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</si>
  <si>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</si>
  <si>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</si>
  <si>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</si>
  <si>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</si>
  <si>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</si>
  <si>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</si>
  <si>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</si>
  <si>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</si>
  <si>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</si>
  <si>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</si>
  <si>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</si>
  <si>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</si>
  <si>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</si>
  <si>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</si>
  <si>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</si>
  <si>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</si>
  <si>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</si>
  <si>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</si>
  <si>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</si>
  <si>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</si>
  <si>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</si>
  <si>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</si>
  <si>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</si>
  <si>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</si>
  <si>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</si>
  <si>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</si>
  <si>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</si>
  <si>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</si>
  <si>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</si>
  <si>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</si>
  <si>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</si>
  <si>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</si>
  <si>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</si>
  <si>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</si>
  <si>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</si>
  <si>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</si>
  <si>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</si>
  <si>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</si>
  <si>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</si>
  <si>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</si>
  <si>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</si>
  <si>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</si>
  <si>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</si>
  <si>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</si>
  <si>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</si>
  <si>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</si>
  <si>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</si>
  <si>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</si>
  <si>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</si>
  <si>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</si>
  <si>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</si>
  <si>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</si>
  <si>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</si>
  <si>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</si>
  <si>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</si>
  <si>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</si>
  <si>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</si>
  <si>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</si>
  <si>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</si>
  <si>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</si>
  <si>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</si>
  <si>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</si>
  <si>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</si>
  <si>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</si>
  <si>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</si>
  <si>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</si>
  <si>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</si>
  <si>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</si>
  <si>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</si>
  <si>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</si>
  <si>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</si>
  <si>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</si>
  <si>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</si>
  <si>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</si>
  <si>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</si>
  <si>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</si>
  <si>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</si>
  <si>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</si>
  <si>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</si>
  <si>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</si>
  <si>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</si>
  <si>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</si>
  <si>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</si>
  <si>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</si>
  <si>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</si>
  <si>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</si>
  <si>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</si>
  <si>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</si>
  <si>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</si>
  <si>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</si>
  <si>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</si>
  <si>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</si>
  <si>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</si>
  <si>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</si>
  <si>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</si>
  <si>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</si>
  <si>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</si>
  <si>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</si>
  <si>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</si>
  <si>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</si>
  <si>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</si>
  <si>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</si>
  <si>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</si>
  <si>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</si>
  <si>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</si>
  <si>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</si>
  <si>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</si>
  <si>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</si>
  <si>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</si>
  <si>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</si>
  <si>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</si>
  <si>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</si>
  <si>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</si>
  <si>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</si>
  <si>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</si>
  <si>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</si>
  <si>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</si>
  <si>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</si>
  <si>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</si>
  <si>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</si>
  <si>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</si>
  <si>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</si>
  <si>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</si>
  <si>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</si>
  <si>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</si>
  <si>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</si>
  <si>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</si>
  <si>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</si>
  <si>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</si>
  <si>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</si>
  <si>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</si>
  <si>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</si>
  <si>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</si>
  <si>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</si>
  <si>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</si>
  <si>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</si>
  <si>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</si>
  <si>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</si>
  <si>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</si>
  <si>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</si>
  <si>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</si>
  <si>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</si>
  <si>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</si>
  <si>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</si>
  <si>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</si>
  <si>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</si>
  <si>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</si>
  <si>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</si>
  <si>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</si>
  <si>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</si>
  <si>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</si>
  <si>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</si>
  <si>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</si>
  <si>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</si>
  <si>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</si>
  <si>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</si>
  <si>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</si>
  <si>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</si>
  <si>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</si>
  <si>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</si>
  <si>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</si>
  <si>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</si>
  <si>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</si>
  <si>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</si>
  <si>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</si>
  <si>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</si>
  <si>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</si>
  <si>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</si>
  <si>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</si>
  <si>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</si>
  <si>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</si>
  <si>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</si>
  <si>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</si>
  <si>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</si>
  <si>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</si>
  <si>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</si>
  <si>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</si>
  <si>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</si>
  <si>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</si>
  <si>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</si>
  <si>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</si>
  <si>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</si>
  <si>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</si>
  <si>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</si>
  <si>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</si>
  <si>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</si>
  <si>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</si>
  <si>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</si>
  <si>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</si>
  <si>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</si>
  <si>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</si>
  <si>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</si>
  <si>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</si>
  <si>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</si>
  <si>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</si>
  <si>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</si>
  <si>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</si>
  <si>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</si>
  <si>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</si>
  <si>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</si>
  <si>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</si>
  <si>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</si>
  <si>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</si>
  <si>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</si>
  <si>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</si>
  <si>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</si>
  <si>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</si>
  <si>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</si>
  <si>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</si>
  <si>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</si>
  <si>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</si>
  <si>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</si>
  <si>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</si>
  <si>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</si>
  <si>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</si>
  <si>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</si>
  <si>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</si>
  <si>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</si>
  <si>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</si>
  <si>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</si>
  <si>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</si>
  <si>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</si>
  <si>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</si>
  <si>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</si>
  <si>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</si>
  <si>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</si>
  <si>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</si>
  <si>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</si>
  <si>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</si>
  <si>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</si>
  <si>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</si>
  <si>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</si>
  <si>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</si>
  <si>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</si>
  <si>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</si>
  <si>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</si>
  <si>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</si>
  <si>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</si>
  <si>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</si>
  <si>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</si>
  <si>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</si>
  <si>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</si>
  <si>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</si>
  <si>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</si>
  <si>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</si>
  <si>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</si>
  <si>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</si>
  <si>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</si>
  <si>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</si>
  <si>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</si>
  <si>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</si>
  <si>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</si>
  <si>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</si>
  <si>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</si>
  <si>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</si>
  <si>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</si>
  <si>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</si>
  <si>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</si>
  <si>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</si>
  <si>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</si>
  <si>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</si>
  <si>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</si>
  <si>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</si>
  <si>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</si>
  <si>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</si>
  <si>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</si>
  <si>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</si>
  <si>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</si>
  <si>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</si>
  <si>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</si>
  <si>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</si>
  <si>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</si>
  <si>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</si>
  <si>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</si>
  <si>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</si>
  <si>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</si>
  <si>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</si>
  <si>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</si>
  <si>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</si>
  <si>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</si>
  <si>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</si>
  <si>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</si>
  <si>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</si>
  <si>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</si>
  <si>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</si>
  <si>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</si>
  <si>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</si>
  <si>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</si>
  <si>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</si>
  <si>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</si>
  <si>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</si>
  <si>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</si>
  <si>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</si>
  <si>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</si>
  <si>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</si>
  <si>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</si>
  <si>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</si>
  <si>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</si>
  <si>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</si>
  <si>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</si>
  <si>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</si>
  <si>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</si>
  <si>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</si>
  <si>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</si>
  <si>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</si>
  <si>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</si>
  <si>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</si>
  <si>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</si>
  <si>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</si>
  <si>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</si>
  <si>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</si>
  <si>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</si>
  <si>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</si>
  <si>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</si>
  <si>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</si>
  <si>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</si>
  <si>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</si>
  <si>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</si>
  <si>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</si>
  <si>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</si>
  <si>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</si>
  <si>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</si>
  <si>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</si>
  <si>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</si>
  <si>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</si>
  <si>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</si>
  <si>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</si>
  <si>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</si>
  <si>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</si>
  <si>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</si>
  <si>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</si>
  <si>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</si>
  <si>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</si>
  <si>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</si>
  <si>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</si>
  <si>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</si>
  <si>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</si>
  <si>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</si>
  <si>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</si>
  <si>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</si>
  <si>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</si>
  <si>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</si>
  <si>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</si>
  <si>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</si>
  <si>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</si>
  <si>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</si>
  <si>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</si>
  <si>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</si>
  <si>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</si>
  <si>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</si>
  <si>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</si>
  <si>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</si>
  <si>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</si>
  <si>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</si>
  <si>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</si>
  <si>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</si>
  <si>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</si>
  <si>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</si>
  <si>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</si>
  <si>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</si>
  <si>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</si>
  <si>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</si>
  <si>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</si>
  <si>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</si>
  <si>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</si>
  <si>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</si>
  <si>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</si>
  <si>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</si>
  <si>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</si>
  <si>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</si>
  <si>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</si>
  <si>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</si>
  <si>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</si>
  <si>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</si>
  <si>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</si>
  <si>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</si>
  <si>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</si>
  <si>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</si>
  <si>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</si>
  <si>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</si>
  <si>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</si>
  <si>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</si>
  <si>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</si>
  <si>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</si>
  <si>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</si>
  <si>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</si>
  <si>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</si>
  <si>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</si>
  <si>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</si>
  <si>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</si>
  <si>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</si>
  <si>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</si>
  <si>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</si>
  <si>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</si>
  <si>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</si>
  <si>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</si>
  <si>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</si>
  <si>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</si>
  <si>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</si>
  <si>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</si>
  <si>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</si>
  <si>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</si>
  <si>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</si>
  <si>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</si>
  <si>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</si>
  <si>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</si>
  <si>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</si>
  <si>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</si>
  <si>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</si>
  <si>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</si>
  <si>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</si>
  <si>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</si>
  <si>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</si>
  <si>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</si>
  <si>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</si>
  <si>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</si>
  <si>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</si>
  <si>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</si>
  <si>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</si>
  <si>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</si>
  <si>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</si>
  <si>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</si>
  <si>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</si>
  <si>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</si>
  <si>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</si>
  <si>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</si>
  <si>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</si>
  <si>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</si>
  <si>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</si>
  <si>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</si>
  <si>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</si>
  <si>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</si>
  <si>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</si>
  <si>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</si>
  <si>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</si>
  <si>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</si>
  <si>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</si>
  <si>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</si>
  <si>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</si>
  <si>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</si>
  <si>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</si>
  <si>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</si>
  <si>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</si>
  <si>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</si>
  <si>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</si>
  <si>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</si>
  <si>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</si>
  <si>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</si>
  <si>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</si>
  <si>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</si>
  <si>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</si>
  <si>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</si>
  <si>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</si>
  <si>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</si>
  <si>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</si>
  <si>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</si>
  <si>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</si>
  <si>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</si>
  <si>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</si>
  <si>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</si>
  <si>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</si>
  <si>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</si>
  <si>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</si>
  <si>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</si>
  <si>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</si>
  <si>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</si>
  <si>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</si>
  <si>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</si>
  <si>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</si>
  <si>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</si>
  <si>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</si>
  <si>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</si>
  <si>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</si>
  <si>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</si>
  <si>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</si>
  <si>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</si>
  <si>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</si>
  <si>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</si>
  <si>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</si>
  <si>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</si>
  <si>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</si>
  <si>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</si>
  <si>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</si>
  <si>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</si>
  <si>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</si>
  <si>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</si>
  <si>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</si>
  <si>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</si>
  <si>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</si>
  <si>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</si>
  <si>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</si>
  <si>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</si>
  <si>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</si>
  <si>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</si>
  <si>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</si>
  <si>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</si>
  <si>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</si>
  <si>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</si>
  <si>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</si>
  <si>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</si>
  <si>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</si>
  <si>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</si>
  <si>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</si>
  <si>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</si>
  <si>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</si>
  <si>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</si>
  <si>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</si>
  <si>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</si>
  <si>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</si>
  <si>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</si>
  <si>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</si>
  <si>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</si>
  <si>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</si>
  <si>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</si>
  <si>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</si>
  <si>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</si>
  <si>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</si>
  <si>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</si>
  <si>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</si>
  <si>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</si>
  <si>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</si>
  <si>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</si>
  <si>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</si>
  <si>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</si>
  <si>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</si>
  <si>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</si>
  <si>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</si>
  <si>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</si>
  <si>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</si>
  <si>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</si>
  <si>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</si>
  <si>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</si>
  <si>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</si>
  <si>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</si>
  <si>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</si>
  <si>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</si>
  <si>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</si>
  <si>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</si>
  <si>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</si>
  <si>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</si>
  <si>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</si>
  <si>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</si>
  <si>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</si>
  <si>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</si>
  <si>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</si>
  <si>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</si>
  <si>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</si>
  <si>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</si>
  <si>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</si>
  <si>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</si>
  <si>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</si>
  <si>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</si>
  <si>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</si>
  <si>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</si>
  <si>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</si>
  <si>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</si>
  <si>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</si>
  <si>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</si>
  <si>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</si>
  <si>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</si>
  <si>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</si>
  <si>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</si>
  <si>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</si>
  <si>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</si>
  <si>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</si>
  <si>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</si>
  <si>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</si>
  <si>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</si>
  <si>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</si>
  <si>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</si>
  <si>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</si>
  <si>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</si>
  <si>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</si>
  <si>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</si>
  <si>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</si>
  <si>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</si>
  <si>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</si>
  <si>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</si>
  <si>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</si>
  <si>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</si>
  <si>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</si>
  <si>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</si>
  <si>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</si>
  <si>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</si>
  <si>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</si>
  <si>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</si>
  <si>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</si>
  <si>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</si>
  <si>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</si>
  <si>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</si>
  <si>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</si>
  <si>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</si>
  <si>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</si>
  <si>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</si>
  <si>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</si>
  <si>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</si>
  <si>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</si>
  <si>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</si>
  <si>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</si>
  <si>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</si>
  <si>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</si>
  <si>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</si>
  <si>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</si>
  <si>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</si>
  <si>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</si>
  <si>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</si>
  <si>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</si>
  <si>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</si>
  <si>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</si>
  <si>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</si>
  <si>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</si>
  <si>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</si>
  <si>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</si>
  <si>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</si>
  <si>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</si>
  <si>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</si>
  <si>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</si>
  <si>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</si>
  <si>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</si>
  <si>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</si>
  <si>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</si>
  <si>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</si>
  <si>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</si>
  <si>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</si>
  <si>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</si>
  <si>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</si>
  <si>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</si>
  <si>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</si>
  <si>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</si>
  <si>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</si>
  <si>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</si>
  <si>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</si>
  <si>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</si>
  <si>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</si>
  <si>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</si>
  <si>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</si>
  <si>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</si>
  <si>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</si>
  <si>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</si>
  <si>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</si>
  <si>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</si>
  <si>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</si>
  <si>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</si>
  <si>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</si>
  <si>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</si>
  <si>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</si>
  <si>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</si>
  <si>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</si>
  <si>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</si>
  <si>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</si>
  <si>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</si>
  <si>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</si>
  <si>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</si>
  <si>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</si>
  <si>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</si>
  <si>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</si>
  <si>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</si>
  <si>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</si>
  <si>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</si>
  <si>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</si>
  <si>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</si>
  <si>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</si>
  <si>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</si>
  <si>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</si>
  <si>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</si>
  <si>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</si>
  <si>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</si>
  <si>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</si>
  <si>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</si>
  <si>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</si>
  <si>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</si>
  <si>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</si>
  <si>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</si>
  <si>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</si>
  <si>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</si>
  <si>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</si>
  <si>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</si>
  <si>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</si>
  <si>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</si>
  <si>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</si>
  <si>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</si>
  <si>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</si>
  <si>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</si>
  <si>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</si>
  <si>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</si>
  <si>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</si>
  <si>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</si>
  <si>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</si>
  <si>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</si>
  <si>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</si>
  <si>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</si>
  <si>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</si>
  <si>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</si>
  <si>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</si>
  <si>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</si>
  <si>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</si>
  <si>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</si>
  <si>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</si>
  <si>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</si>
  <si>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</si>
  <si>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</si>
  <si>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</si>
  <si>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</si>
  <si>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</si>
  <si>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</si>
  <si>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</si>
  <si>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</si>
  <si>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</si>
  <si>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</si>
  <si>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</si>
  <si>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</si>
  <si>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</si>
  <si>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</si>
  <si>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</si>
  <si>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</si>
  <si>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</si>
  <si>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</si>
  <si>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</si>
  <si>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</si>
  <si>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</si>
  <si>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</si>
  <si>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</si>
  <si>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</si>
  <si>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</si>
  <si>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</si>
  <si>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</si>
  <si>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</si>
  <si>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</si>
  <si>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</si>
  <si>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</si>
  <si>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</si>
  <si>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</si>
  <si>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</si>
  <si>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</si>
  <si>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</si>
  <si>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</si>
  <si>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</si>
  <si>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</si>
  <si>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</si>
  <si>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</si>
  <si>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</si>
  <si>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</si>
  <si>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</si>
  <si>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</si>
  <si>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</si>
  <si>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</si>
  <si>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</si>
  <si>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</si>
  <si>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</si>
  <si>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</si>
  <si>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</si>
  <si>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</si>
  <si>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</si>
  <si>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</si>
  <si>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</si>
  <si>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</si>
  <si>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</si>
  <si>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</si>
  <si>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</si>
  <si>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</si>
  <si>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</si>
  <si>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</si>
  <si>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</si>
  <si>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</si>
  <si>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</si>
  <si>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</si>
  <si>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</si>
  <si>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</si>
  <si>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</si>
  <si>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</si>
  <si>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</si>
  <si>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</si>
  <si>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</si>
  <si>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</si>
  <si>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</si>
  <si>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</si>
  <si>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</si>
  <si>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</si>
  <si>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</si>
  <si>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</si>
  <si>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</si>
  <si>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</si>
  <si>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</si>
  <si>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</si>
  <si>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</si>
  <si>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</si>
  <si>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</si>
  <si>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</si>
  <si>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</si>
  <si>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</si>
  <si>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</si>
  <si>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</si>
  <si>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</si>
  <si>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</si>
  <si>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</si>
  <si>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</si>
  <si>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</si>
  <si>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</si>
  <si>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</si>
  <si>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</si>
  <si>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</si>
  <si>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</si>
  <si>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</si>
  <si>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</si>
  <si>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</si>
  <si>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</si>
  <si>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</si>
  <si>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</si>
  <si>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</si>
  <si>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</si>
  <si>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</si>
  <si>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</si>
  <si>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</si>
  <si>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</si>
  <si>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</si>
  <si>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</si>
  <si>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</si>
  <si>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</si>
  <si>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</si>
  <si>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</si>
  <si>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</si>
  <si>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</si>
  <si>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</si>
  <si>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</si>
  <si>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</si>
  <si>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</si>
  <si>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</si>
  <si>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</si>
  <si>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</si>
  <si>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</si>
  <si>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</si>
  <si>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</si>
  <si>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</si>
  <si>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</si>
  <si>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</si>
  <si>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</si>
  <si>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</si>
  <si>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</si>
  <si>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</si>
  <si>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</si>
  <si>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</si>
  <si>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</si>
  <si>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</si>
  <si>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</si>
  <si>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</si>
  <si>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</si>
  <si>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</si>
  <si>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</si>
  <si>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</si>
  <si>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</si>
  <si>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</si>
  <si>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</si>
  <si>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</si>
  <si>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</si>
  <si>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</si>
  <si>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</si>
  <si>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</si>
  <si>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</si>
  <si>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</si>
  <si>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</si>
  <si>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</si>
  <si>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</si>
  <si>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</si>
  <si>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</si>
  <si>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</si>
  <si>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</si>
  <si>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</si>
  <si>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</si>
  <si>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</si>
  <si>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</si>
  <si>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</si>
  <si>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</si>
  <si>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</si>
  <si>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</si>
  <si>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</si>
  <si>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</si>
  <si>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</si>
  <si>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</si>
  <si>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</si>
  <si>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</si>
  <si>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</si>
  <si>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</si>
  <si>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</si>
  <si>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</si>
  <si>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</si>
  <si>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</si>
  <si>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</si>
  <si>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</si>
  <si>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</si>
  <si>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</si>
  <si>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</si>
  <si>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</si>
  <si>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</si>
  <si>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</si>
  <si>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</si>
  <si>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</si>
  <si>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</si>
  <si>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</si>
  <si>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</si>
  <si>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</si>
  <si>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</si>
  <si>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</si>
  <si>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</si>
  <si>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</si>
  <si>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</si>
  <si>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</si>
  <si>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</si>
  <si>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</si>
  <si>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</si>
  <si>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</si>
  <si>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</si>
  <si>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</si>
  <si>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</si>
  <si>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</si>
  <si>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</si>
  <si>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</si>
  <si>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</si>
  <si>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</si>
  <si>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</si>
  <si>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</si>
  <si>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</si>
  <si>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</si>
  <si>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</si>
  <si>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</si>
  <si>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</si>
  <si>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</si>
  <si>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</si>
  <si>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</si>
  <si>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</si>
  <si>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</si>
  <si>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</si>
  <si>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</si>
  <si>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</si>
  <si>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</si>
  <si>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</si>
  <si>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</si>
  <si>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</si>
  <si>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</si>
  <si>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</si>
  <si>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</si>
  <si>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</si>
  <si>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</si>
  <si>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</si>
  <si>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</si>
  <si>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</si>
  <si>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</si>
  <si>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</si>
  <si>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</si>
  <si>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</si>
  <si>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</si>
  <si>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</si>
  <si>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</si>
  <si>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</si>
  <si>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</si>
  <si>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</si>
  <si>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</si>
  <si>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</si>
  <si>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</si>
  <si>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</si>
  <si>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</si>
  <si>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</si>
  <si>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</si>
  <si>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</si>
  <si>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</si>
  <si>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</si>
  <si>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</si>
  <si>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</si>
  <si>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</si>
  <si>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</si>
  <si>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</si>
  <si>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</si>
  <si>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</si>
  <si>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</si>
  <si>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</si>
  <si>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</si>
  <si>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</si>
  <si>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</si>
  <si>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</si>
  <si>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</si>
  <si>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</si>
  <si>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</si>
  <si>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</si>
  <si>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</si>
  <si>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</si>
  <si>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</si>
  <si>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</si>
  <si>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</si>
  <si>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</si>
  <si>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</si>
  <si>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</si>
  <si>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</si>
  <si>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</si>
  <si>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</si>
  <si>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</si>
  <si>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</si>
  <si>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</si>
  <si>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</si>
  <si>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</si>
  <si>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</si>
  <si>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</si>
  <si>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</si>
  <si>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</si>
  <si>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</si>
  <si>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</si>
  <si>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</si>
  <si>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</si>
  <si>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</si>
  <si>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</si>
  <si>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</si>
  <si>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</si>
  <si>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</si>
  <si>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</si>
  <si>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</si>
  <si>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</si>
  <si>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</si>
  <si>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</si>
  <si>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</si>
  <si>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</si>
  <si>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</si>
  <si>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</si>
  <si>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</si>
  <si>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</si>
  <si>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</si>
  <si>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</si>
  <si>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</si>
  <si>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</si>
  <si>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</si>
  <si>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</si>
  <si>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</si>
  <si>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</si>
  <si>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</si>
  <si>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</si>
  <si>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</si>
  <si>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</si>
  <si>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</si>
  <si>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</si>
  <si>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</si>
  <si>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</si>
  <si>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</si>
  <si>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</si>
  <si>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</si>
  <si>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</si>
  <si>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</si>
  <si>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</si>
  <si>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</si>
  <si>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</si>
  <si>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</si>
  <si>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</si>
  <si>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</si>
  <si>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</si>
  <si>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</si>
  <si>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</si>
  <si>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</si>
  <si>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</si>
  <si>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</si>
  <si>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</si>
  <si>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</si>
  <si>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</si>
  <si>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</si>
  <si>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</si>
  <si>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</si>
  <si>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</si>
  <si>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</si>
  <si>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</si>
  <si>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</si>
  <si>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</si>
  <si>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</si>
  <si>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</si>
  <si>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</si>
  <si>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</si>
  <si>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</si>
  <si>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</si>
  <si>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</si>
  <si>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</si>
  <si>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</si>
  <si>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</si>
  <si>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</si>
  <si>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</si>
  <si>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</si>
  <si>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</si>
  <si>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</si>
  <si>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</si>
  <si>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</si>
  <si>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</si>
  <si>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</si>
  <si>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</si>
  <si>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</si>
  <si>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</si>
  <si>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</si>
  <si>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</si>
  <si>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</si>
  <si>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</si>
  <si>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</si>
  <si>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</si>
  <si>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</si>
  <si>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</si>
  <si>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</si>
  <si>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</si>
  <si>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</si>
  <si>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</si>
  <si>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</si>
  <si>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</si>
  <si>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</si>
  <si>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</si>
  <si>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</si>
  <si>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</si>
  <si>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</si>
  <si>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</si>
  <si>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</si>
  <si>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</si>
  <si>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</si>
  <si>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</si>
  <si>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</si>
  <si>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</si>
  <si>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</si>
  <si>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</si>
  <si>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</si>
  <si>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</si>
  <si>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</si>
  <si>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</si>
  <si>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</si>
  <si>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</si>
  <si>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</si>
  <si>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</si>
  <si>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</si>
  <si>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</si>
  <si>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</si>
  <si>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</si>
  <si>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</si>
  <si>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</si>
  <si>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</si>
  <si>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</si>
  <si>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</si>
  <si>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</si>
  <si>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</si>
  <si>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</si>
  <si>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</si>
  <si>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</si>
  <si>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</si>
  <si>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</si>
  <si>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</si>
  <si>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</si>
  <si>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</si>
  <si>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</si>
  <si>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</si>
  <si>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</si>
  <si>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</si>
  <si>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</si>
  <si>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</si>
  <si>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</si>
  <si>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</si>
  <si>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</si>
  <si>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</si>
  <si>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</si>
  <si>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</si>
  <si>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</si>
  <si>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</si>
  <si>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</si>
  <si>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</si>
  <si>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</si>
  <si>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</si>
  <si>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</si>
  <si>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</si>
  <si>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</si>
  <si>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</si>
  <si>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</si>
  <si>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</si>
  <si>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</si>
  <si>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</si>
  <si>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</si>
  <si>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</si>
  <si>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</si>
  <si>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</si>
  <si>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</si>
  <si>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</si>
  <si>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</si>
  <si>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</si>
  <si>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</si>
  <si>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</si>
  <si>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</si>
  <si>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</si>
  <si>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</si>
  <si>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</si>
  <si>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</si>
  <si>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</si>
  <si>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</si>
  <si>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</si>
  <si>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</si>
  <si>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</si>
  <si>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</si>
  <si>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</si>
  <si>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</si>
  <si>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</si>
  <si>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</si>
  <si>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</si>
  <si>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</si>
  <si>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</si>
  <si>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</si>
  <si>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</si>
  <si>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</si>
  <si>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</si>
  <si>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</si>
  <si>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</si>
  <si>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</si>
  <si>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</si>
  <si>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</si>
  <si>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</si>
  <si>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</si>
  <si>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</si>
  <si>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</si>
  <si>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</si>
  <si>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</si>
  <si>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</si>
  <si>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</si>
  <si>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</si>
  <si>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</si>
  <si>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</si>
  <si>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</si>
  <si>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</si>
  <si>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</si>
  <si>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</si>
  <si>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</si>
  <si>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</si>
  <si>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</si>
  <si>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</si>
  <si>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</si>
  <si>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</si>
  <si>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</si>
  <si>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</si>
  <si>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</si>
  <si>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</si>
  <si>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</si>
  <si>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</si>
  <si>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</si>
  <si>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</si>
  <si>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</si>
  <si>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</si>
  <si>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</si>
  <si>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</si>
  <si>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</si>
  <si>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</si>
  <si>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</si>
  <si>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</si>
  <si>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</si>
  <si>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</si>
  <si>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</si>
  <si>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</si>
  <si>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</si>
  <si>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</si>
  <si>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</si>
  <si>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</si>
  <si>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</si>
  <si>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</si>
  <si>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</si>
  <si>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</si>
  <si>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</si>
  <si>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</si>
  <si>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</si>
  <si>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</si>
  <si>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</si>
  <si>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</si>
  <si>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</si>
  <si>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</si>
  <si>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</si>
  <si>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</si>
  <si>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</si>
  <si>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</si>
  <si>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</si>
  <si>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</si>
  <si>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</si>
  <si>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</si>
  <si>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</si>
  <si>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</si>
  <si>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</si>
  <si>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</si>
  <si>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</si>
  <si>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</si>
  <si>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</si>
  <si>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</si>
  <si>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</si>
  <si>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</si>
  <si>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</si>
  <si>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</si>
  <si>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</si>
  <si>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</si>
  <si>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</si>
  <si>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</si>
  <si>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</si>
  <si>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</si>
  <si>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</si>
  <si>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</si>
  <si>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</si>
  <si>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</si>
  <si>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</si>
  <si>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</si>
  <si>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</si>
  <si>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</si>
  <si>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</si>
  <si>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</si>
  <si>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</si>
  <si>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</si>
  <si>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</si>
  <si>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</si>
  <si>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</si>
  <si>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</si>
  <si>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</si>
  <si>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</si>
  <si>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</si>
  <si>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</si>
  <si>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</si>
  <si>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</si>
  <si>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</si>
  <si>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</si>
  <si>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</si>
  <si>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</si>
  <si>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</si>
  <si>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</si>
  <si>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</si>
  <si>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</si>
  <si>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</si>
  <si>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</si>
  <si>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</si>
  <si>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</si>
  <si>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</si>
  <si>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</si>
  <si>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</si>
  <si>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</si>
  <si>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</si>
  <si>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</si>
  <si>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</si>
  <si>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</si>
  <si>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</si>
  <si>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</si>
  <si>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</si>
  <si>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</si>
  <si>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</si>
  <si>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</si>
  <si>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</si>
  <si>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</si>
  <si>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</si>
  <si>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</si>
  <si>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</si>
  <si>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</si>
  <si>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</si>
  <si>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</si>
  <si>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</si>
  <si>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</si>
  <si>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</si>
  <si>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</si>
  <si>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</si>
  <si>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</si>
  <si>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</si>
  <si>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</si>
  <si>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</si>
  <si>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</si>
  <si>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</si>
  <si>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</si>
  <si>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</si>
  <si>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</si>
  <si>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</si>
  <si>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</si>
  <si>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</si>
  <si>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</si>
  <si>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</si>
  <si>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</si>
  <si>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</si>
  <si>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</si>
  <si>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</si>
  <si>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</si>
  <si>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</si>
  <si>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</si>
  <si>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</si>
  <si>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</si>
  <si>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</si>
  <si>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</si>
  <si>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</si>
  <si>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</si>
  <si>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</si>
  <si>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</si>
  <si>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</si>
  <si>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</si>
  <si>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</si>
  <si>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</si>
  <si>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</si>
  <si>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</si>
  <si>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</si>
  <si>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</si>
  <si>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</si>
  <si>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</si>
  <si>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</si>
  <si>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</si>
  <si>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</si>
  <si>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</si>
  <si>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</si>
  <si>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</si>
  <si>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</si>
  <si>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</si>
  <si>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</si>
  <si>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</si>
  <si>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</si>
  <si>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</si>
  <si>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</si>
  <si>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</si>
  <si>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</si>
  <si>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</si>
  <si>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</si>
  <si>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</si>
  <si>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</si>
  <si>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</si>
  <si>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</si>
  <si>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</si>
  <si>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</si>
  <si>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</si>
  <si>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</si>
  <si>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</si>
  <si>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</si>
  <si>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</si>
  <si>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</si>
  <si>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</si>
  <si>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</si>
  <si>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</si>
  <si>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</si>
  <si>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</si>
  <si>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</si>
  <si>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</si>
  <si>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</si>
  <si>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</si>
  <si>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</si>
  <si>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</si>
  <si>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</si>
  <si>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</si>
  <si>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</si>
  <si>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</si>
  <si>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</si>
  <si>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</si>
  <si>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</si>
  <si>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</si>
  <si>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</si>
  <si>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</si>
  <si>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</si>
  <si>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</si>
  <si>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</si>
  <si>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</si>
  <si>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</si>
  <si>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</si>
  <si>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</si>
  <si>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</si>
  <si>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</si>
  <si>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</si>
  <si>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</si>
  <si>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</si>
  <si>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</si>
  <si>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</si>
  <si>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</si>
  <si>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</si>
  <si>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</si>
  <si>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</si>
  <si>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</si>
  <si>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</si>
  <si>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</si>
  <si>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</si>
  <si>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</si>
  <si>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</si>
  <si>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</si>
  <si>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</si>
  <si>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</si>
  <si>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</si>
  <si>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</si>
  <si>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</si>
  <si>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</si>
  <si>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</si>
  <si>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</si>
  <si>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</si>
  <si>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</si>
  <si>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</si>
  <si>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</si>
  <si>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</si>
  <si>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</si>
  <si>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</si>
  <si>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</si>
  <si>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</si>
  <si>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</si>
  <si>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</si>
  <si>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</si>
  <si>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</si>
  <si>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</si>
  <si>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</si>
  <si>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</si>
  <si>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</si>
  <si>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</si>
  <si>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</si>
  <si>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</si>
  <si>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</si>
  <si>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</si>
  <si>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</si>
  <si>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</si>
  <si>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</si>
  <si>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</si>
  <si>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</si>
  <si>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</si>
  <si>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</si>
  <si>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</si>
  <si>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</si>
  <si>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</si>
  <si>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</si>
  <si>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</si>
  <si>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</si>
  <si>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</si>
  <si>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</si>
  <si>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</si>
  <si>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</si>
  <si>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</si>
  <si>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</si>
  <si>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</si>
  <si>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</si>
  <si>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</si>
  <si>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</si>
  <si>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</si>
  <si>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</si>
  <si>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</si>
  <si>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</si>
  <si>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</si>
  <si>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</si>
  <si>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</si>
  <si>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</si>
  <si>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</si>
  <si>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</si>
  <si>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</si>
  <si>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</si>
  <si>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</si>
  <si>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</si>
  <si>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</si>
  <si>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</si>
  <si>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</si>
  <si>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</si>
  <si>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</si>
  <si>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</si>
  <si>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</si>
  <si>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</si>
  <si>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</si>
  <si>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</si>
  <si>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</si>
  <si>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</si>
  <si>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</si>
  <si>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</si>
  <si>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</si>
  <si>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</si>
  <si>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</si>
  <si>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</si>
  <si>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</si>
  <si>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</si>
  <si>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</si>
  <si>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</si>
  <si>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</si>
  <si>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</si>
  <si>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</si>
  <si>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</si>
  <si>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</si>
  <si>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</si>
  <si>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</si>
  <si>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</si>
  <si>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</si>
  <si>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</si>
  <si>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</si>
  <si>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</si>
  <si>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</si>
  <si>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</si>
  <si>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</si>
  <si>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</si>
  <si>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</si>
  <si>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</si>
  <si>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</si>
  <si>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</si>
  <si>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</si>
  <si>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</si>
  <si>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</si>
  <si>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</si>
  <si>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</si>
  <si>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</si>
  <si>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</si>
  <si>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</si>
  <si>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</si>
  <si>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</si>
  <si>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</si>
  <si>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</si>
  <si>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</si>
  <si>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</si>
  <si>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</si>
  <si>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</si>
  <si>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</si>
  <si>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</si>
  <si>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</si>
  <si>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</si>
  <si>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</si>
  <si>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</si>
  <si>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</si>
  <si>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</si>
  <si>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</si>
  <si>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</si>
  <si>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</si>
  <si>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</si>
  <si>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</si>
  <si>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</si>
  <si>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</si>
  <si>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</si>
  <si>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</si>
  <si>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</si>
  <si>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</si>
  <si>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</si>
  <si>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</si>
  <si>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</si>
  <si>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</si>
  <si>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</si>
  <si>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</si>
  <si>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</si>
  <si>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</si>
  <si>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</si>
  <si>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</si>
  <si>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</si>
  <si>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</si>
  <si>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</si>
  <si>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</si>
  <si>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</si>
  <si>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</si>
  <si>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</si>
  <si>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</si>
  <si>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</si>
  <si>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</si>
  <si>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</si>
  <si>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</si>
  <si>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</si>
  <si>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</si>
  <si>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</si>
  <si>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</si>
  <si>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</si>
  <si>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</si>
  <si>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</si>
  <si>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</si>
  <si>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</si>
  <si>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</si>
  <si>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</si>
  <si>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</si>
  <si>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</si>
  <si>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</si>
  <si>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</si>
  <si>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</si>
  <si>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</si>
  <si>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</si>
  <si>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</si>
  <si>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</si>
  <si>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</si>
  <si>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</si>
  <si>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</si>
  <si>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</si>
  <si>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</si>
  <si>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</si>
  <si>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</si>
  <si>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</si>
  <si>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</si>
  <si>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</si>
  <si>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</si>
  <si>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</si>
  <si>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</si>
  <si>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</si>
  <si>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</si>
  <si>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</si>
  <si>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</si>
  <si>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</si>
  <si>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</si>
  <si>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</si>
  <si>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</si>
  <si>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</si>
  <si>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</si>
  <si>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</si>
  <si>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</si>
  <si>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</si>
  <si>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</si>
  <si>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</si>
  <si>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</si>
  <si>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</si>
  <si>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</si>
  <si>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</si>
  <si>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</si>
  <si>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</si>
  <si>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</si>
  <si>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</si>
  <si>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</si>
  <si>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</si>
  <si>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</si>
  <si>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</si>
  <si>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</si>
  <si>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</si>
  <si>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</si>
  <si>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</si>
  <si>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</si>
  <si>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</si>
  <si>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</si>
  <si>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</si>
  <si>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</si>
  <si>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</si>
  <si>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</si>
  <si>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</si>
  <si>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</si>
  <si>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</si>
  <si>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</si>
  <si>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</si>
  <si>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</si>
  <si>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</si>
  <si>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</si>
  <si>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</si>
  <si>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</si>
  <si>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</si>
  <si>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</si>
  <si>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</si>
  <si>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</si>
  <si>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</si>
  <si>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</si>
  <si>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</si>
  <si>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</si>
  <si>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</si>
  <si>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</si>
  <si>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</si>
  <si>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</si>
  <si>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</si>
  <si>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</si>
  <si>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</si>
  <si>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</si>
  <si>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</si>
  <si>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</si>
  <si>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</si>
  <si>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</si>
  <si>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</si>
  <si>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</si>
  <si>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</si>
  <si>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</si>
  <si>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</si>
  <si>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</si>
  <si>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</si>
  <si>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</si>
  <si>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</si>
  <si>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</si>
  <si>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</si>
  <si>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</si>
  <si>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</si>
  <si>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</si>
  <si>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</si>
  <si>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</si>
  <si>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</si>
  <si>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</si>
  <si>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</si>
  <si>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</si>
  <si>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</si>
  <si>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</si>
  <si>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</si>
  <si>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</si>
  <si>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</si>
  <si>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</si>
  <si>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</si>
  <si>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</si>
  <si>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</si>
  <si>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</si>
  <si>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</si>
  <si>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</si>
  <si>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</si>
  <si>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</si>
  <si>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</si>
  <si>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</si>
  <si>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</si>
  <si>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</si>
  <si>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</si>
  <si>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</si>
  <si>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</si>
  <si>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</si>
  <si>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</si>
  <si>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</si>
  <si>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</si>
  <si>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</si>
  <si>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</si>
  <si>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</si>
  <si>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</si>
  <si>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</si>
  <si>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</si>
  <si>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</si>
  <si>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</si>
  <si>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</si>
  <si>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</si>
  <si>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</si>
  <si>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</si>
  <si>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</si>
  <si>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</si>
  <si>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</si>
  <si>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</si>
  <si>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</si>
  <si>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</si>
  <si>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</si>
  <si>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</si>
  <si>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</si>
  <si>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</si>
  <si>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</si>
  <si>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</si>
  <si>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</si>
  <si>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</si>
  <si>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</si>
  <si>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</si>
  <si>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</si>
  <si>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</si>
  <si>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</si>
  <si>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</si>
  <si>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</si>
  <si>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</si>
  <si>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</si>
  <si>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</si>
  <si>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</si>
  <si>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</si>
  <si>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</si>
  <si>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</si>
  <si>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</si>
  <si>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</si>
  <si>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</si>
  <si>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</si>
  <si>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</si>
  <si>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</si>
  <si>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</si>
  <si>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</si>
  <si>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</si>
  <si>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</si>
  <si>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</si>
  <si>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</si>
  <si>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</si>
  <si>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</si>
  <si>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</si>
  <si>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</si>
  <si>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</si>
  <si>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</si>
  <si>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</si>
  <si>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</si>
  <si>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</si>
  <si>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</si>
  <si>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</si>
  <si>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</si>
  <si>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</si>
  <si>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</si>
  <si>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</si>
  <si>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</si>
  <si>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</si>
  <si>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</si>
  <si>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</si>
  <si>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</si>
  <si>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</si>
  <si>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</si>
  <si>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</si>
  <si>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</si>
  <si>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</si>
  <si>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</si>
  <si>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</si>
  <si>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</si>
  <si>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</si>
  <si>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</si>
  <si>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</si>
  <si>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</si>
  <si>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</si>
  <si>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</si>
  <si>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</si>
  <si>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</si>
  <si>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</si>
  <si>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</si>
  <si>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</si>
  <si>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</si>
  <si>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</si>
  <si>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</si>
  <si>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</si>
  <si>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</si>
  <si>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</si>
  <si>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</si>
  <si>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</si>
  <si>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</si>
  <si>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</si>
  <si>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</si>
  <si>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</si>
  <si>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</si>
  <si>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</si>
  <si>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</si>
  <si>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</si>
  <si>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</si>
  <si>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</si>
  <si>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</si>
  <si>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</si>
  <si>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</si>
  <si>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</si>
  <si>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</si>
  <si>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</si>
  <si>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</si>
  <si>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</si>
  <si>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</si>
  <si>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</si>
  <si>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</si>
  <si>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</si>
  <si>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</si>
  <si>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</si>
  <si>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</si>
  <si>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</si>
  <si>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</si>
  <si>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</si>
  <si>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</si>
  <si>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</si>
  <si>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</si>
  <si>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</si>
  <si>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</si>
  <si>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</si>
  <si>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</si>
  <si>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</si>
  <si>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</si>
  <si>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</si>
  <si>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</si>
  <si>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</si>
  <si>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</si>
  <si>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</si>
  <si>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</si>
  <si>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</si>
  <si>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</si>
  <si>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</si>
  <si>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</si>
  <si>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</si>
  <si>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</si>
  <si>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</si>
  <si>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</si>
  <si>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</si>
  <si>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</si>
  <si>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</si>
  <si>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</si>
  <si>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</si>
  <si>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</si>
  <si>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</si>
  <si>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</si>
  <si>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</si>
  <si>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</si>
  <si>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</si>
  <si>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</si>
  <si>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</si>
  <si>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</si>
  <si>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</si>
  <si>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</si>
  <si>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</si>
  <si>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</si>
  <si>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</si>
  <si>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</si>
  <si>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</si>
  <si>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</si>
  <si>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</si>
  <si>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</si>
  <si>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</si>
  <si>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</si>
  <si>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</si>
  <si>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</si>
  <si>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</si>
  <si>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</si>
  <si>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</si>
  <si>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</si>
  <si>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</si>
  <si>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</si>
  <si>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</si>
  <si>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</si>
  <si>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</si>
  <si>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</si>
  <si>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</si>
  <si>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</si>
  <si>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</si>
  <si>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</si>
  <si>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</si>
  <si>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</si>
  <si>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</si>
  <si>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</si>
  <si>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</si>
  <si>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</si>
  <si>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</si>
  <si>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</si>
  <si>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</si>
  <si>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</si>
  <si>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</si>
  <si>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</si>
  <si>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</si>
  <si>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</si>
  <si>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</si>
  <si>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</si>
  <si>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</si>
  <si>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</si>
  <si>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</si>
  <si>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</si>
  <si>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</si>
  <si>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</si>
  <si>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</si>
  <si>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</si>
  <si>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</si>
  <si>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</si>
  <si>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</si>
  <si>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</si>
  <si>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</si>
  <si>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</si>
  <si>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</si>
  <si>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</si>
  <si>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</si>
  <si>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</si>
  <si>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</si>
  <si>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</si>
  <si>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</si>
  <si>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</si>
  <si>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</si>
  <si>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</si>
  <si>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</si>
  <si>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</si>
  <si>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</si>
  <si>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</si>
  <si>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</si>
  <si>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</si>
  <si>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</si>
  <si>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</si>
  <si>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</si>
  <si>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</si>
  <si>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</si>
  <si>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</si>
  <si>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</si>
  <si>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</si>
  <si>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</si>
  <si>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</si>
  <si>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</si>
  <si>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</si>
  <si>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</si>
  <si>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</si>
  <si>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</si>
  <si>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</si>
  <si>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</si>
  <si>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</si>
  <si>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</si>
  <si>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</si>
  <si>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</si>
  <si>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</si>
  <si>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</si>
  <si>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</si>
  <si>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</si>
  <si>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</si>
  <si>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</si>
  <si>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</si>
  <si>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</si>
  <si>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</si>
  <si>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</si>
  <si>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</si>
  <si>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</si>
  <si>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</si>
  <si>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</si>
  <si>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</si>
  <si>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</si>
  <si>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</si>
  <si>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</si>
  <si>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</si>
  <si>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</si>
  <si>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</si>
  <si>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</si>
  <si>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</si>
  <si>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</si>
  <si>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</si>
  <si>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</si>
  <si>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</si>
  <si>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</si>
  <si>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</si>
  <si>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</si>
  <si>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</si>
  <si>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</si>
  <si>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</si>
  <si>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</si>
  <si>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</si>
  <si>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</si>
  <si>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</si>
  <si>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</si>
  <si>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</si>
  <si>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</si>
  <si>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</si>
  <si>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</si>
  <si>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</si>
  <si>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</si>
  <si>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</si>
  <si>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</si>
  <si>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</si>
  <si>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</si>
  <si>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</si>
  <si>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</si>
  <si>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</si>
  <si>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</si>
  <si>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</si>
  <si>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</si>
  <si>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</si>
  <si>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</si>
  <si>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</si>
  <si>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</si>
  <si>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</si>
  <si>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</si>
  <si>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</si>
  <si>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</si>
  <si>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</si>
  <si>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</si>
  <si>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</si>
  <si>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</si>
  <si>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</si>
  <si>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</si>
  <si>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</si>
  <si>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</si>
  <si>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</si>
  <si>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</si>
  <si>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</si>
  <si>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</si>
  <si>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</si>
  <si>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</si>
  <si>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</si>
  <si>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</si>
  <si>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</si>
  <si>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</si>
  <si>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</si>
  <si>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</si>
  <si>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</si>
  <si>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</si>
  <si>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</si>
  <si>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</si>
  <si>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</si>
  <si>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</si>
  <si>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</si>
  <si>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</si>
  <si>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</si>
  <si>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</si>
  <si>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</si>
  <si>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</si>
  <si>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</si>
  <si>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</si>
  <si>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</si>
  <si>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</si>
  <si>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</si>
  <si>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</si>
  <si>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</si>
  <si>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</si>
  <si>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</si>
  <si>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</si>
  <si>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</si>
  <si>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</si>
  <si>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</si>
  <si>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</si>
  <si>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</si>
  <si>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</si>
  <si>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</si>
  <si>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</si>
  <si>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</si>
  <si>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</si>
  <si>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</si>
  <si>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</si>
  <si>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</si>
  <si>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</si>
  <si>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</si>
  <si>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</si>
  <si>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</si>
  <si>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</si>
  <si>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</si>
  <si>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</si>
  <si>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</si>
  <si>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</si>
  <si>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</si>
  <si>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</si>
  <si>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</si>
  <si>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</si>
  <si>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</si>
  <si>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</si>
  <si>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</si>
  <si>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</si>
  <si>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</si>
  <si>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</si>
  <si>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</si>
  <si>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</si>
  <si>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</si>
  <si>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</si>
  <si>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</si>
  <si>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</si>
  <si>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</si>
  <si>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</si>
  <si>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</si>
  <si>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</si>
  <si>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</si>
  <si>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</si>
  <si>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</si>
  <si>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</si>
  <si>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</si>
  <si>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</si>
  <si>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</si>
  <si>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</si>
  <si>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</si>
  <si>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</si>
  <si>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</si>
  <si>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</si>
  <si>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</si>
  <si>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</si>
  <si>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</si>
  <si>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</si>
  <si>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</si>
  <si>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</si>
  <si>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</si>
  <si>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</si>
  <si>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</si>
  <si>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</si>
  <si>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</si>
  <si>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</si>
  <si>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</si>
  <si>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</si>
  <si>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</si>
  <si>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</si>
  <si>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</si>
  <si>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</si>
  <si>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</si>
  <si>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</si>
  <si>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</si>
  <si>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</si>
  <si>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</si>
  <si>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</si>
  <si>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</si>
  <si>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</si>
  <si>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</si>
  <si>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</si>
  <si>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</si>
  <si>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</si>
  <si>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</si>
  <si>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</si>
  <si>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</si>
  <si>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</si>
  <si>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</si>
  <si>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</si>
  <si>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</si>
  <si>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</si>
  <si>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</si>
  <si>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</si>
  <si>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</si>
  <si>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</si>
  <si>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</si>
  <si>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</si>
  <si>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</si>
  <si>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</si>
  <si>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</si>
  <si>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</si>
  <si>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</si>
  <si>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</si>
  <si>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</si>
  <si>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</si>
  <si>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</si>
  <si>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</si>
  <si>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</si>
  <si>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</si>
  <si>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</si>
  <si>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</si>
  <si>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</si>
  <si>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</si>
  <si>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</si>
  <si>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</si>
  <si>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</si>
  <si>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</si>
  <si>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</si>
  <si>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</si>
  <si>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</si>
  <si>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</si>
  <si>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</si>
  <si>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</si>
  <si>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</si>
  <si>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</si>
  <si>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</si>
  <si>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</si>
  <si>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</si>
  <si>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</si>
  <si>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</si>
  <si>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</si>
  <si>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</si>
  <si>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</si>
  <si>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</si>
  <si>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</si>
  <si>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</si>
  <si>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</si>
  <si>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</si>
  <si>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</si>
  <si>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</si>
  <si>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</si>
  <si>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</si>
  <si>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</si>
  <si>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</si>
  <si>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</si>
  <si>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</si>
  <si>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</si>
  <si>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</si>
  <si>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</si>
  <si>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</si>
  <si>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</si>
  <si>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</si>
  <si>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</si>
  <si>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</si>
  <si>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</si>
  <si>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</si>
  <si>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</si>
  <si>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</si>
  <si>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</si>
  <si>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</si>
  <si>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</si>
  <si>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</si>
  <si>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</si>
  <si>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</si>
  <si>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</si>
  <si>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</si>
  <si>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</si>
  <si>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</si>
  <si>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</si>
  <si>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</si>
  <si>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</si>
  <si>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</si>
  <si>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</si>
  <si>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</si>
  <si>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</si>
  <si>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</si>
  <si>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</si>
  <si>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</si>
  <si>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</si>
  <si>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</si>
  <si>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</si>
  <si>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</si>
  <si>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</si>
  <si>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</si>
  <si>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</si>
  <si>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</si>
  <si>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</si>
  <si>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</si>
  <si>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</si>
  <si>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</si>
  <si>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</si>
  <si>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</si>
  <si>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</si>
  <si>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</si>
  <si>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</si>
  <si>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</si>
  <si>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</si>
  <si>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</si>
  <si>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</si>
  <si>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</si>
  <si>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</si>
  <si>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</si>
  <si>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</si>
  <si>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</si>
  <si>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</si>
  <si>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</si>
  <si>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</si>
  <si>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</si>
  <si>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</si>
  <si>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</si>
  <si>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</si>
  <si>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</si>
  <si>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</si>
  <si>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</si>
  <si>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</si>
  <si>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</si>
  <si>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</si>
  <si>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</si>
  <si>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</si>
  <si>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</si>
  <si>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</si>
  <si>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</si>
  <si>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</si>
  <si>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</si>
  <si>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</si>
  <si>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</si>
  <si>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</si>
  <si>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</si>
  <si>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</si>
  <si>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</si>
  <si>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</si>
  <si>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</si>
  <si>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</si>
  <si>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</si>
  <si>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</si>
  <si>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</si>
  <si>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</si>
  <si>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</si>
  <si>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</si>
  <si>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</si>
  <si>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</si>
  <si>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</si>
  <si>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</si>
  <si>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</si>
  <si>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</si>
  <si>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</si>
  <si>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</si>
  <si>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</si>
  <si>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</si>
  <si>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</si>
  <si>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</si>
  <si>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</si>
  <si>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</si>
  <si>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</si>
  <si>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</si>
  <si>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</si>
  <si>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</si>
  <si>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</si>
  <si>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</si>
  <si>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</si>
  <si>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</si>
  <si>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</si>
  <si>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</si>
  <si>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</si>
  <si>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</si>
  <si>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</si>
  <si>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</si>
  <si>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</si>
  <si>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</si>
  <si>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</si>
  <si>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</si>
  <si>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</si>
  <si>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</si>
  <si>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</si>
  <si>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</si>
  <si>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</si>
  <si>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</si>
  <si>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</si>
  <si>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</si>
  <si>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</si>
  <si>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</si>
  <si>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</si>
  <si>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</si>
  <si>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</si>
  <si>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</si>
  <si>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</si>
  <si>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</si>
  <si>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</si>
  <si>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</si>
  <si>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</si>
  <si>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</si>
  <si>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</si>
  <si>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</si>
  <si>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</si>
  <si>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</si>
  <si>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</si>
  <si>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</si>
  <si>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</si>
  <si>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</si>
  <si>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</si>
  <si>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</si>
  <si>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</si>
  <si>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</si>
  <si>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</si>
  <si>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</si>
  <si>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</si>
  <si>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</si>
  <si>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</si>
  <si>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</si>
  <si>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</si>
  <si>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</si>
  <si>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</si>
  <si>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</si>
  <si>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</si>
  <si>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</si>
  <si>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</si>
  <si>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</si>
  <si>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</si>
  <si>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</si>
  <si>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</si>
  <si>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</si>
  <si>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</si>
  <si>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</si>
  <si>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</si>
  <si>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</si>
  <si>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</si>
  <si>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</si>
  <si>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</si>
  <si>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</si>
  <si>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</si>
  <si>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</si>
  <si>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</si>
  <si>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</si>
  <si>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</si>
  <si>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</si>
  <si>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</si>
  <si>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</si>
  <si>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</si>
  <si>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</si>
  <si>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</si>
  <si>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</si>
  <si>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</si>
  <si>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</si>
  <si>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</si>
  <si>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</si>
  <si>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</si>
  <si>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</si>
  <si>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</si>
  <si>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</si>
  <si>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</si>
  <si>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</si>
  <si>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</si>
  <si>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</si>
  <si>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</si>
  <si>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</si>
  <si>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</si>
  <si>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</si>
  <si>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</si>
  <si>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</si>
  <si>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</si>
  <si>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</si>
  <si>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</si>
  <si>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</si>
  <si>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</si>
  <si>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</si>
  <si>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</si>
  <si>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</si>
  <si>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</si>
  <si>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</si>
  <si>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</si>
  <si>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</si>
  <si>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</si>
  <si>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</si>
  <si>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</si>
  <si>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</si>
  <si>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</si>
  <si>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</si>
  <si>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</si>
  <si>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</si>
  <si>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</si>
  <si>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</si>
  <si>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</si>
  <si>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</si>
  <si>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</si>
  <si>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</si>
  <si>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</si>
  <si>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</si>
  <si>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</si>
  <si>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</si>
  <si>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</si>
  <si>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</si>
  <si>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</si>
  <si>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</si>
  <si>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</si>
  <si>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</si>
  <si>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</si>
  <si>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</si>
  <si>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</si>
  <si>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</si>
  <si>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</si>
  <si>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</si>
  <si>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</si>
  <si>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</si>
  <si>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</si>
  <si>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</si>
  <si>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</si>
  <si>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</si>
  <si>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</si>
  <si>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</si>
  <si>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</si>
  <si>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</si>
  <si>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</si>
  <si>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</si>
  <si>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</si>
  <si>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</si>
  <si>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</si>
  <si>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</si>
  <si>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</si>
  <si>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</si>
  <si>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</si>
  <si>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</si>
  <si>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</si>
  <si>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</si>
  <si>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</si>
  <si>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</si>
  <si>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</si>
  <si>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</si>
  <si>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</si>
  <si>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</si>
  <si>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</si>
  <si>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</si>
  <si>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</si>
  <si>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</si>
  <si>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</si>
  <si>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</si>
  <si>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</si>
  <si>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</si>
  <si>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</si>
  <si>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</si>
  <si>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</si>
  <si>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</si>
  <si>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</si>
  <si>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</si>
  <si>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</si>
  <si>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</si>
  <si>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</si>
  <si>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</si>
  <si>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</si>
  <si>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</si>
  <si>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</si>
  <si>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</si>
  <si>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</si>
  <si>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</si>
  <si>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</si>
  <si>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</si>
  <si>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</si>
  <si>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</si>
  <si>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</si>
  <si>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</si>
  <si>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</si>
  <si>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</si>
  <si>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</si>
  <si>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</si>
  <si>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</si>
  <si>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</si>
  <si>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</si>
  <si>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</si>
  <si>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</si>
  <si>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</si>
  <si>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</si>
  <si>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</si>
  <si>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</si>
  <si>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</si>
  <si>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</si>
  <si>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</si>
  <si>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</si>
  <si>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</si>
  <si>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</si>
  <si>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</si>
  <si>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</si>
  <si>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</si>
  <si>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</si>
  <si>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</si>
  <si>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</si>
  <si>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</si>
  <si>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</si>
  <si>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</si>
  <si>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</si>
  <si>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</si>
  <si>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</si>
  <si>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</si>
  <si>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</si>
  <si>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</si>
  <si>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</si>
  <si>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</si>
  <si>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</si>
  <si>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</si>
  <si>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</si>
  <si>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</si>
  <si>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</si>
  <si>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</si>
  <si>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</si>
  <si>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</si>
  <si>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</si>
  <si>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</si>
  <si>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</si>
  <si>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</si>
  <si>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</si>
  <si>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</si>
  <si>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</si>
  <si>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</si>
  <si>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</si>
  <si>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</si>
  <si>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</si>
  <si>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</si>
  <si>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</si>
  <si>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</si>
  <si>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بدهی به مهدی 23/1/98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</si>
  <si>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</si>
  <si>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</si>
  <si>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</si>
  <si>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</si>
  <si>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</si>
  <si>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</si>
  <si>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</si>
  <si>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</si>
  <si>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بدهی به داریوش 25/1/98</t>
  </si>
  <si>
    <t>26/1/1398</t>
  </si>
  <si>
    <t>11/3/1398</t>
  </si>
  <si>
    <t>11/2/1398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</si>
</sst>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2" sqref="E5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4943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4945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4939</v>
      </c>
      <c r="B4" s="18">
        <v>-960200</v>
      </c>
      <c r="C4" s="18">
        <v>0</v>
      </c>
      <c r="D4" s="113">
        <f t="shared" si="0"/>
        <v>-960200</v>
      </c>
      <c r="E4" s="99" t="s">
        <v>4946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4925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4925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4925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4947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4964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4965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4976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4992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4996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150136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4914</v>
      </c>
      <c r="B341" s="18">
        <v>433375</v>
      </c>
      <c r="C341" s="18">
        <v>0</v>
      </c>
      <c r="D341" s="18">
        <f t="shared" si="18"/>
        <v>433375</v>
      </c>
      <c r="E341" s="99" t="s">
        <v>4919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4925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4925</v>
      </c>
      <c r="B343" s="18">
        <v>-300000</v>
      </c>
      <c r="C343" s="18">
        <v>0</v>
      </c>
      <c r="D343" s="18">
        <f t="shared" si="18"/>
        <v>-300000</v>
      </c>
      <c r="E343" s="99" t="s">
        <v>4928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4925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4936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4945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4939</v>
      </c>
      <c r="B347" s="18">
        <v>-960200</v>
      </c>
      <c r="C347" s="18">
        <v>0</v>
      </c>
      <c r="D347" s="18">
        <f t="shared" si="18"/>
        <v>-960200</v>
      </c>
      <c r="E347" s="99" t="s">
        <v>4946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4938</v>
      </c>
      <c r="B193" s="38">
        <v>-25000</v>
      </c>
      <c r="C193" s="11" t="s">
        <v>4948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1"/>
  <sheetViews>
    <sheetView topLeftCell="A109" zoomScaleNormal="100" workbookViewId="0">
      <selection activeCell="G129" sqref="G12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4899</v>
      </c>
      <c r="AT11" s="73" t="s">
        <v>4900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4970</v>
      </c>
      <c r="AT12" s="73" t="s">
        <v>4971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4972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484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4" si="6">U20*(1+$N$90+$Q$15*S20/36500)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512468884.96598136</v>
      </c>
      <c r="M21" s="168" t="s">
        <v>4301</v>
      </c>
      <c r="N21" s="113">
        <f t="shared" ref="N21:N26" si="9">O21*P21</f>
        <v>16320942</v>
      </c>
      <c r="O21" s="99">
        <v>82429</v>
      </c>
      <c r="P21" s="186">
        <f>P58</f>
        <v>198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-150136</v>
      </c>
      <c r="M22" s="168" t="s">
        <v>4391</v>
      </c>
      <c r="N22" s="113">
        <f t="shared" si="9"/>
        <v>101165244</v>
      </c>
      <c r="O22" s="99">
        <v>25521</v>
      </c>
      <c r="P22" s="186">
        <f>P46</f>
        <v>3964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1204934.4000000001</v>
      </c>
      <c r="O23" s="99">
        <v>8808</v>
      </c>
      <c r="P23" s="186">
        <f>P48</f>
        <v>136.80000000000001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468620258.96598136</v>
      </c>
      <c r="G24" s="95">
        <f t="shared" si="0"/>
        <v>-188313913.58404273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100945665</v>
      </c>
      <c r="O24" s="99">
        <v>154706</v>
      </c>
      <c r="P24" s="186">
        <f>P51</f>
        <v>652.5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94010658.899999991</v>
      </c>
      <c r="O25" s="99">
        <v>20491</v>
      </c>
      <c r="P25" s="186">
        <f>P52</f>
        <v>4587.8999999999996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11521518.4</v>
      </c>
      <c r="O26" s="99">
        <v>1828</v>
      </c>
      <c r="P26" s="99">
        <f>P50</f>
        <v>6302.8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417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6599031.6000000006</v>
      </c>
      <c r="O29" s="69">
        <v>1047</v>
      </c>
      <c r="P29" s="99">
        <f>P50</f>
        <v>6302.8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4514996</v>
      </c>
      <c r="O30" s="69">
        <v>1139</v>
      </c>
      <c r="P30" s="99">
        <f>P46</f>
        <v>3964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628357.5</v>
      </c>
      <c r="O31" s="69">
        <v>963</v>
      </c>
      <c r="P31" s="99">
        <f>P51</f>
        <v>652.5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665245.5</v>
      </c>
      <c r="O32" s="69">
        <v>145</v>
      </c>
      <c r="P32" s="99">
        <f>P52</f>
        <v>4587.8999999999996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24884442</v>
      </c>
      <c r="O33" s="69">
        <v>125679</v>
      </c>
      <c r="P33" s="99">
        <f>P58</f>
        <v>198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4" si="14">V34*(1+$W$19/100)</f>
        <v>3306.0786608219182</v>
      </c>
      <c r="X34" s="32">
        <f t="shared" ref="X34:X54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-S176</f>
        <v>-512468884.96598136</v>
      </c>
      <c r="O36" s="96" t="s">
        <v>25</v>
      </c>
      <c r="P36" s="9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4829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14850000</v>
      </c>
      <c r="O40" s="96"/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4828</v>
      </c>
      <c r="N41" s="113">
        <v>-18000000</v>
      </c>
      <c r="O41" s="247"/>
      <c r="P41" s="114"/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4830</v>
      </c>
      <c r="N42" s="113">
        <v>-47000000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 t="s">
        <v>5004</v>
      </c>
      <c r="L43" s="117">
        <v>-135000</v>
      </c>
      <c r="M43" s="168"/>
      <c r="N43" s="113"/>
      <c r="O43" s="96"/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4995</v>
      </c>
      <c r="L44" s="117">
        <v>-2485000</v>
      </c>
      <c r="M44" s="168" t="s">
        <v>4459</v>
      </c>
      <c r="N44" s="113">
        <v>71</v>
      </c>
      <c r="P44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126832144</v>
      </c>
      <c r="O46" s="99">
        <v>31996</v>
      </c>
      <c r="P46" s="99">
        <v>3964</v>
      </c>
      <c r="Q46" s="169">
        <v>1018599</v>
      </c>
      <c r="R46" s="215" t="s">
        <v>4906</v>
      </c>
      <c r="S46" s="198">
        <f>S45-19</f>
        <v>21</v>
      </c>
      <c r="T46" s="215" t="s">
        <v>4908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916000</v>
      </c>
      <c r="O47" s="69">
        <v>2000</v>
      </c>
      <c r="P47" s="69">
        <v>458</v>
      </c>
      <c r="Q47" s="169">
        <v>1001132</v>
      </c>
      <c r="R47" s="215" t="s">
        <v>4906</v>
      </c>
      <c r="S47" s="198">
        <f>S46</f>
        <v>21</v>
      </c>
      <c r="T47" s="215" t="s">
        <v>4909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121478.40000000001</v>
      </c>
      <c r="O48" s="69">
        <v>888</v>
      </c>
      <c r="P48" s="69">
        <v>136.80000000000001</v>
      </c>
      <c r="Q48" s="169">
        <v>5809833</v>
      </c>
      <c r="R48" s="215" t="s">
        <v>4925</v>
      </c>
      <c r="S48" s="198">
        <f>S47-2</f>
        <v>19</v>
      </c>
      <c r="T48" s="215" t="s">
        <v>4929</v>
      </c>
      <c r="U48" s="215">
        <v>587.29999999999995</v>
      </c>
      <c r="V48" s="215">
        <f t="shared" si="6"/>
        <v>602.43785863013693</v>
      </c>
      <c r="W48" s="32">
        <f t="shared" si="14"/>
        <v>614.48661580273972</v>
      </c>
      <c r="X48" s="32">
        <f t="shared" si="15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63925</v>
      </c>
      <c r="O49" s="69">
        <v>50</v>
      </c>
      <c r="P49" s="69">
        <v>1278.5</v>
      </c>
      <c r="Q49" s="169">
        <v>22263826</v>
      </c>
      <c r="R49" s="215" t="s">
        <v>4925</v>
      </c>
      <c r="S49" s="198">
        <f>S48</f>
        <v>19</v>
      </c>
      <c r="T49" s="215" t="s">
        <v>4930</v>
      </c>
      <c r="U49" s="215">
        <v>3560</v>
      </c>
      <c r="V49" s="215">
        <f t="shared" si="6"/>
        <v>3651.760219178082</v>
      </c>
      <c r="W49" s="32">
        <f t="shared" si="14"/>
        <v>3724.7954235616439</v>
      </c>
      <c r="X49" s="32">
        <f t="shared" si="15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209492466.40000001</v>
      </c>
      <c r="O50" s="69">
        <v>33238</v>
      </c>
      <c r="P50" s="69">
        <v>6302.8</v>
      </c>
      <c r="Q50" s="169">
        <v>112288</v>
      </c>
      <c r="R50" s="215" t="s">
        <v>981</v>
      </c>
      <c r="S50" s="198">
        <f>S49-1</f>
        <v>18</v>
      </c>
      <c r="T50" s="215" t="s">
        <v>4933</v>
      </c>
      <c r="U50" s="215">
        <v>3605.5</v>
      </c>
      <c r="V50" s="215">
        <f t="shared" si="6"/>
        <v>3695.6671342465756</v>
      </c>
      <c r="W50" s="32">
        <f t="shared" si="14"/>
        <v>3769.5804769315073</v>
      </c>
      <c r="X50" s="32">
        <f t="shared" si="15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69709837.5</v>
      </c>
      <c r="O51" s="69">
        <v>106835</v>
      </c>
      <c r="P51" s="69">
        <v>652.5</v>
      </c>
      <c r="Q51" s="169">
        <v>931614</v>
      </c>
      <c r="R51" s="215" t="s">
        <v>4939</v>
      </c>
      <c r="S51" s="198">
        <f>S50-8</f>
        <v>10</v>
      </c>
      <c r="T51" s="215" t="s">
        <v>4941</v>
      </c>
      <c r="U51" s="215">
        <v>4437</v>
      </c>
      <c r="V51" s="215">
        <f t="shared" si="6"/>
        <v>4520.7316602739729</v>
      </c>
      <c r="W51" s="32">
        <f t="shared" si="14"/>
        <v>4611.1462934794527</v>
      </c>
      <c r="X51" s="32">
        <f t="shared" si="15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37529022</v>
      </c>
      <c r="O52" s="69">
        <v>8180</v>
      </c>
      <c r="P52" s="69">
        <v>4587.8999999999996</v>
      </c>
      <c r="Q52" s="169">
        <v>533965</v>
      </c>
      <c r="R52" s="215" t="s">
        <v>4984</v>
      </c>
      <c r="S52" s="198">
        <f>S51-12</f>
        <v>-2</v>
      </c>
      <c r="T52" s="215" t="s">
        <v>4985</v>
      </c>
      <c r="U52" s="215">
        <v>4429.2</v>
      </c>
      <c r="V52" s="215">
        <f t="shared" si="6"/>
        <v>4472.0115550684932</v>
      </c>
      <c r="W52" s="32">
        <f t="shared" si="14"/>
        <v>4561.4517861698632</v>
      </c>
      <c r="X52" s="32">
        <f t="shared" si="15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16713337.5</v>
      </c>
      <c r="O53" s="69">
        <v>2913</v>
      </c>
      <c r="P53" s="69">
        <v>5737.5</v>
      </c>
      <c r="Q53" s="169">
        <v>164707</v>
      </c>
      <c r="R53" s="215" t="s">
        <v>5000</v>
      </c>
      <c r="S53" s="198">
        <f>S52-6</f>
        <v>-8</v>
      </c>
      <c r="T53" s="215" t="s">
        <v>5001</v>
      </c>
      <c r="U53" s="215">
        <v>633</v>
      </c>
      <c r="V53" s="215">
        <f t="shared" si="6"/>
        <v>636.204887671233</v>
      </c>
      <c r="W53" s="32">
        <f t="shared" si="14"/>
        <v>648.92898542465764</v>
      </c>
      <c r="X53" s="32">
        <f t="shared" si="15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4749630</v>
      </c>
      <c r="O54" s="69">
        <v>5100</v>
      </c>
      <c r="P54" s="69">
        <v>931.3</v>
      </c>
      <c r="Q54" s="169"/>
      <c r="R54" s="168"/>
      <c r="S54" s="168"/>
      <c r="T54" s="168"/>
      <c r="U54" s="168"/>
      <c r="V54" s="215">
        <f t="shared" si="6"/>
        <v>0</v>
      </c>
      <c r="W54" s="32">
        <f t="shared" si="14"/>
        <v>0</v>
      </c>
      <c r="X54" s="32">
        <f t="shared" si="15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2515421.5</v>
      </c>
      <c r="O55" s="69">
        <v>6997</v>
      </c>
      <c r="P55" s="69">
        <v>359.5</v>
      </c>
      <c r="Q55" s="169">
        <f>SUM(N21:N26)-SUM(Q20:Q54)</f>
        <v>48821845.699999988</v>
      </c>
      <c r="R55" s="168"/>
      <c r="S55" s="168" t="s">
        <v>25</v>
      </c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254741.2</v>
      </c>
      <c r="O56" s="69">
        <v>1148</v>
      </c>
      <c r="P56" s="69">
        <v>221.9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1466850</v>
      </c>
      <c r="O57" s="69">
        <v>5500</v>
      </c>
      <c r="P57" s="69">
        <v>266.7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255497220</v>
      </c>
      <c r="O58" s="99">
        <v>1290390</v>
      </c>
      <c r="P58" s="99">
        <v>198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495000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>
        <v>0</v>
      </c>
      <c r="R60" s="168" t="s">
        <v>4172</v>
      </c>
      <c r="S60" s="168">
        <f>S88</f>
        <v>195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9">
        <v>863944</v>
      </c>
      <c r="R61" s="168" t="s">
        <v>4438</v>
      </c>
      <c r="S61" s="168">
        <f>S60-62</f>
        <v>133</v>
      </c>
      <c r="T61" s="191" t="s">
        <v>4510</v>
      </c>
      <c r="U61" s="168">
        <v>184.6</v>
      </c>
      <c r="V61" s="168">
        <f t="shared" ref="V61:V79" si="17">U61*(1+$N$90+$Q$15*S61/36500)</f>
        <v>205.50177753424657</v>
      </c>
      <c r="W61" s="32">
        <f t="shared" ref="W61:W79" si="18">V61*(1+$W$19/100)</f>
        <v>209.6118130849315</v>
      </c>
      <c r="X61" s="32">
        <f t="shared" ref="X61:X79" si="19">V61*(1+$X$19/100)</f>
        <v>213.72184863561645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1692313</v>
      </c>
      <c r="R62" s="168" t="s">
        <v>4513</v>
      </c>
      <c r="S62" s="198">
        <f>S61-21</f>
        <v>112</v>
      </c>
      <c r="T62" s="190" t="s">
        <v>4514</v>
      </c>
      <c r="U62" s="168">
        <v>168.5</v>
      </c>
      <c r="V62" s="168">
        <f t="shared" si="17"/>
        <v>184.86435068493151</v>
      </c>
      <c r="W62" s="32">
        <f t="shared" si="18"/>
        <v>188.56163769863014</v>
      </c>
      <c r="X62" s="32">
        <f t="shared" si="19"/>
        <v>192.25892471232876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101153</v>
      </c>
      <c r="R63" s="168" t="s">
        <v>4516</v>
      </c>
      <c r="S63" s="198">
        <f>S62-1</f>
        <v>111</v>
      </c>
      <c r="T63" s="190" t="s">
        <v>4518</v>
      </c>
      <c r="U63" s="168">
        <v>166.7</v>
      </c>
      <c r="V63" s="168">
        <f t="shared" si="17"/>
        <v>182.7616591780822</v>
      </c>
      <c r="W63" s="32">
        <f t="shared" si="18"/>
        <v>186.41689236164385</v>
      </c>
      <c r="X63" s="32">
        <f t="shared" si="19"/>
        <v>190.07212554520549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-10631412</v>
      </c>
      <c r="O64" s="99">
        <v>53694</v>
      </c>
      <c r="P64" s="99">
        <f>P58</f>
        <v>198</v>
      </c>
      <c r="Q64" s="169">
        <v>183105</v>
      </c>
      <c r="R64" s="168" t="s">
        <v>4231</v>
      </c>
      <c r="S64" s="198">
        <f>S63-1</f>
        <v>110</v>
      </c>
      <c r="T64" s="190" t="s">
        <v>4522</v>
      </c>
      <c r="U64" s="168">
        <v>166.6</v>
      </c>
      <c r="V64" s="168">
        <f t="shared" si="17"/>
        <v>182.524221369863</v>
      </c>
      <c r="W64" s="32">
        <f t="shared" si="18"/>
        <v>186.17470579726026</v>
      </c>
      <c r="X64" s="32">
        <f t="shared" si="19"/>
        <v>189.82519022465752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168846</v>
      </c>
      <c r="R65" s="168" t="s">
        <v>3691</v>
      </c>
      <c r="S65" s="198">
        <f>S64-30</f>
        <v>80</v>
      </c>
      <c r="T65" s="190" t="s">
        <v>4622</v>
      </c>
      <c r="U65" s="168">
        <v>172.2</v>
      </c>
      <c r="V65" s="168">
        <f t="shared" si="17"/>
        <v>184.69653041095893</v>
      </c>
      <c r="W65" s="32">
        <f t="shared" si="18"/>
        <v>188.3904610191781</v>
      </c>
      <c r="X65" s="32">
        <f t="shared" si="19"/>
        <v>192.08439162739728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250962</v>
      </c>
      <c r="R66" s="168" t="s">
        <v>4665</v>
      </c>
      <c r="S66" s="198">
        <f>S65-10</f>
        <v>70</v>
      </c>
      <c r="T66" s="190" t="s">
        <v>4666</v>
      </c>
      <c r="U66" s="168">
        <v>5315.5</v>
      </c>
      <c r="V66" s="168">
        <f t="shared" si="17"/>
        <v>5660.4686684931521</v>
      </c>
      <c r="W66" s="32">
        <f t="shared" si="18"/>
        <v>5773.6780418630151</v>
      </c>
      <c r="X66" s="32">
        <f t="shared" si="19"/>
        <v>5886.8874152328781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-S177</f>
        <v>-14649309.766031194</v>
      </c>
      <c r="Q67" s="169">
        <v>352231</v>
      </c>
      <c r="R67" s="215" t="s">
        <v>4715</v>
      </c>
      <c r="S67" s="198">
        <f>S66-7</f>
        <v>63</v>
      </c>
      <c r="T67" s="190" t="s">
        <v>4717</v>
      </c>
      <c r="U67" s="215">
        <v>502.3</v>
      </c>
      <c r="V67" s="215">
        <f t="shared" si="17"/>
        <v>532.20129972602751</v>
      </c>
      <c r="W67" s="32">
        <f t="shared" si="18"/>
        <v>542.84532572054809</v>
      </c>
      <c r="X67" s="32">
        <f t="shared" si="19"/>
        <v>553.48935171506866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4739</v>
      </c>
      <c r="N68" s="113">
        <f>50*P59</f>
        <v>24750000</v>
      </c>
      <c r="P68" t="s">
        <v>25</v>
      </c>
      <c r="Q68" s="169">
        <v>165067</v>
      </c>
      <c r="R68" s="215" t="s">
        <v>4765</v>
      </c>
      <c r="S68" s="198">
        <f>S67-16</f>
        <v>47</v>
      </c>
      <c r="T68" s="190" t="s">
        <v>4773</v>
      </c>
      <c r="U68" s="215">
        <v>3095.9</v>
      </c>
      <c r="V68" s="215">
        <f t="shared" si="17"/>
        <v>3242.1961183561652</v>
      </c>
      <c r="W68" s="32">
        <f t="shared" si="18"/>
        <v>3307.0400407232887</v>
      </c>
      <c r="X68" s="32">
        <f t="shared" si="19"/>
        <v>3371.8839630904122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62110</v>
      </c>
      <c r="R69" s="215" t="s">
        <v>4906</v>
      </c>
      <c r="S69" s="198">
        <f>S68-26</f>
        <v>21</v>
      </c>
      <c r="T69" s="190" t="s">
        <v>4910</v>
      </c>
      <c r="U69" s="215">
        <v>270</v>
      </c>
      <c r="V69" s="215">
        <f t="shared" si="17"/>
        <v>277.3735890410959</v>
      </c>
      <c r="W69" s="32">
        <f t="shared" si="18"/>
        <v>282.92106082191782</v>
      </c>
      <c r="X69" s="32">
        <f t="shared" si="19"/>
        <v>288.46853260273974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468620258.96598136</v>
      </c>
      <c r="M70" s="168"/>
      <c r="N70" s="113">
        <f>SUM(N16:N69)</f>
        <v>530071412.06798744</v>
      </c>
      <c r="Q70" s="169">
        <v>48217</v>
      </c>
      <c r="R70" s="215" t="s">
        <v>4925</v>
      </c>
      <c r="S70" s="198">
        <f>S69-2</f>
        <v>19</v>
      </c>
      <c r="T70" s="190" t="s">
        <v>4931</v>
      </c>
      <c r="U70" s="215">
        <v>400</v>
      </c>
      <c r="V70" s="215">
        <f t="shared" si="17"/>
        <v>410.31013698630136</v>
      </c>
      <c r="W70" s="32">
        <f t="shared" si="18"/>
        <v>418.51633972602741</v>
      </c>
      <c r="X70" s="32">
        <f t="shared" si="19"/>
        <v>426.72254246575341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621510</v>
      </c>
      <c r="M71" s="168"/>
      <c r="N71" s="113">
        <f>N16+N17+N37</f>
        <v>641053</v>
      </c>
      <c r="Q71" s="169">
        <v>115911</v>
      </c>
      <c r="R71" s="215" t="s">
        <v>981</v>
      </c>
      <c r="S71" s="198">
        <f>S70-1</f>
        <v>18</v>
      </c>
      <c r="T71" s="190" t="s">
        <v>4934</v>
      </c>
      <c r="U71" s="215">
        <v>3605.5</v>
      </c>
      <c r="V71" s="215">
        <f t="shared" si="17"/>
        <v>3695.6671342465756</v>
      </c>
      <c r="W71" s="32">
        <f t="shared" si="18"/>
        <v>3769.5804769315073</v>
      </c>
      <c r="X71" s="32">
        <f t="shared" si="19"/>
        <v>3843.4938196164389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538620258.96598136</v>
      </c>
      <c r="M72" s="113"/>
      <c r="N72" s="168"/>
      <c r="O72" s="115"/>
      <c r="P72" s="115"/>
      <c r="Q72" s="169">
        <v>102339</v>
      </c>
      <c r="R72" s="215" t="s">
        <v>4939</v>
      </c>
      <c r="S72" s="198">
        <f>S71-8</f>
        <v>10</v>
      </c>
      <c r="T72" s="190" t="s">
        <v>4940</v>
      </c>
      <c r="U72" s="215">
        <v>4429</v>
      </c>
      <c r="V72" s="215">
        <f t="shared" si="17"/>
        <v>4512.5806904109595</v>
      </c>
      <c r="W72" s="32">
        <f t="shared" si="18"/>
        <v>4602.8323042191787</v>
      </c>
      <c r="X72" s="32">
        <f t="shared" si="19"/>
        <v>4693.0839180273979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3792615</v>
      </c>
      <c r="R73" s="5" t="s">
        <v>4955</v>
      </c>
      <c r="S73" s="198">
        <f>S72-4</f>
        <v>6</v>
      </c>
      <c r="T73" s="190" t="s">
        <v>4958</v>
      </c>
      <c r="U73" s="215">
        <v>3775.1</v>
      </c>
      <c r="V73" s="215">
        <f t="shared" si="17"/>
        <v>3834.7569227397262</v>
      </c>
      <c r="W73" s="32">
        <f t="shared" si="18"/>
        <v>3911.4520611945209</v>
      </c>
      <c r="X73" s="32">
        <f t="shared" si="19"/>
        <v>3988.1471996493156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6278475</v>
      </c>
      <c r="R74" s="5" t="s">
        <v>4955</v>
      </c>
      <c r="S74" s="198">
        <f>S73</f>
        <v>6</v>
      </c>
      <c r="T74" s="190" t="s">
        <v>4959</v>
      </c>
      <c r="U74" s="215">
        <v>6250.1</v>
      </c>
      <c r="V74" s="215">
        <f t="shared" si="17"/>
        <v>6348.868703561644</v>
      </c>
      <c r="W74" s="32">
        <f t="shared" si="18"/>
        <v>6475.8460776328766</v>
      </c>
      <c r="X74" s="32">
        <f t="shared" si="19"/>
        <v>6602.8234517041101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32259750</v>
      </c>
      <c r="P75" s="115"/>
      <c r="Q75" s="169">
        <v>13517</v>
      </c>
      <c r="R75" s="5" t="s">
        <v>4955</v>
      </c>
      <c r="S75" s="198">
        <f>S74</f>
        <v>6</v>
      </c>
      <c r="T75" s="190" t="s">
        <v>4960</v>
      </c>
      <c r="U75" s="215">
        <v>4485.1000000000004</v>
      </c>
      <c r="V75" s="215">
        <f t="shared" si="17"/>
        <v>4555.9768679452063</v>
      </c>
      <c r="W75" s="32">
        <f t="shared" si="18"/>
        <v>4647.0964053041107</v>
      </c>
      <c r="X75" s="32">
        <f t="shared" si="19"/>
        <v>4738.2159426630151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3141975</v>
      </c>
      <c r="P76" s="115"/>
      <c r="Q76" s="169">
        <v>19918023</v>
      </c>
      <c r="R76" s="5" t="s">
        <v>4955</v>
      </c>
      <c r="S76" s="198">
        <f>S75</f>
        <v>6</v>
      </c>
      <c r="T76" s="190" t="s">
        <v>4961</v>
      </c>
      <c r="U76" s="215">
        <v>183</v>
      </c>
      <c r="V76" s="215">
        <f t="shared" si="17"/>
        <v>185.89190136986301</v>
      </c>
      <c r="W76" s="32">
        <f t="shared" si="18"/>
        <v>189.60973939726026</v>
      </c>
      <c r="X76" s="32">
        <f t="shared" si="19"/>
        <v>193.32757742465753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4868</v>
      </c>
      <c r="N77" s="99" t="s">
        <v>751</v>
      </c>
      <c r="O77" s="113">
        <f>O21*25</f>
        <v>2060725</v>
      </c>
      <c r="Q77" s="169">
        <v>529520</v>
      </c>
      <c r="R77" s="5" t="s">
        <v>4984</v>
      </c>
      <c r="S77" s="198">
        <f>S76-8</f>
        <v>-2</v>
      </c>
      <c r="T77" s="190" t="s">
        <v>4986</v>
      </c>
      <c r="U77" s="215">
        <v>4429.2</v>
      </c>
      <c r="V77" s="215">
        <f t="shared" si="17"/>
        <v>4472.0115550684932</v>
      </c>
      <c r="W77" s="32">
        <f t="shared" si="18"/>
        <v>4561.4517861698632</v>
      </c>
      <c r="X77" s="32">
        <f t="shared" si="19"/>
        <v>4650.8920172712333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168390</v>
      </c>
      <c r="R78" s="19" t="s">
        <v>5000</v>
      </c>
      <c r="S78" s="198">
        <f>S77-6</f>
        <v>-8</v>
      </c>
      <c r="T78" s="190" t="s">
        <v>5002</v>
      </c>
      <c r="U78" s="215">
        <v>632.5</v>
      </c>
      <c r="V78" s="215">
        <f t="shared" si="17"/>
        <v>635.70235616438367</v>
      </c>
      <c r="W78" s="32">
        <f t="shared" si="18"/>
        <v>648.4164032876713</v>
      </c>
      <c r="X78" s="32">
        <f t="shared" si="19"/>
        <v>661.13045041095904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13">
        <f>SUM(N29:N33)-SUM(Q60:Q79)</f>
        <v>2485334.6000000015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4789</v>
      </c>
      <c r="L81" s="22" t="s">
        <v>4755</v>
      </c>
      <c r="M81" s="208" t="s">
        <v>4730</v>
      </c>
      <c r="N81" s="96"/>
      <c r="P81" s="115"/>
      <c r="R81" s="115"/>
      <c r="S81" s="115"/>
      <c r="T81" s="115" t="s">
        <v>25</v>
      </c>
      <c r="U81" s="115"/>
      <c r="V81" s="115"/>
      <c r="W81" s="195" t="s">
        <v>25</v>
      </c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4790</v>
      </c>
      <c r="M82" s="122"/>
      <c r="N82" s="96"/>
      <c r="P82" s="115" t="s">
        <v>25</v>
      </c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K84" t="s">
        <v>4869</v>
      </c>
      <c r="M84" s="96">
        <f>O58+O21+O33-O64</f>
        <v>1444804</v>
      </c>
      <c r="N84" s="113">
        <f>M84*P58</f>
        <v>286071192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4870</v>
      </c>
      <c r="M85" t="s">
        <v>4267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K86" t="s">
        <v>4871</v>
      </c>
      <c r="M86" t="s">
        <v>4582</v>
      </c>
      <c r="N86" t="s">
        <v>25</v>
      </c>
      <c r="P86" s="115"/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t="s">
        <v>4540</v>
      </c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U88*(1+$N$90+$Q$15*S88/36500)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L99" s="96"/>
      <c r="M99" s="96"/>
      <c r="N99" s="96"/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P102" s="115"/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4720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169">
        <v>60508</v>
      </c>
      <c r="R108" s="168" t="s">
        <v>4624</v>
      </c>
      <c r="S108" s="168">
        <f>S107-3</f>
        <v>77</v>
      </c>
      <c r="T108" s="168" t="s">
        <v>4987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25000</v>
      </c>
      <c r="G109" s="200">
        <f>P58</f>
        <v>198</v>
      </c>
      <c r="H109" s="200" t="s">
        <v>4849</v>
      </c>
      <c r="I109" s="200" t="s">
        <v>4848</v>
      </c>
      <c r="J109" s="216" t="s">
        <v>4243</v>
      </c>
      <c r="K109" s="200">
        <v>61</v>
      </c>
      <c r="L109" s="217">
        <f t="shared" ref="L109:L117" si="26">K109*$L$120</f>
        <v>301950000</v>
      </c>
      <c r="M109" s="217">
        <f>N21+N33+N58</f>
        <v>296702604</v>
      </c>
      <c r="N109" s="184">
        <f t="shared" ref="N109:N117" si="27">L109-M109</f>
        <v>5247396</v>
      </c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785.36523449895287</v>
      </c>
      <c r="G110" s="215">
        <f>P50</f>
        <v>6302.8</v>
      </c>
      <c r="H110" s="215" t="s">
        <v>4703</v>
      </c>
      <c r="I110" s="215" t="s">
        <v>4702</v>
      </c>
      <c r="J110" s="32" t="s">
        <v>4395</v>
      </c>
      <c r="K110" s="215">
        <v>34</v>
      </c>
      <c r="L110" s="1">
        <f t="shared" si="26"/>
        <v>168300000</v>
      </c>
      <c r="M110" s="1">
        <f>N26+N50+N29</f>
        <v>227613016.40000001</v>
      </c>
      <c r="N110" s="113">
        <f t="shared" si="27"/>
        <v>-59313016.400000006</v>
      </c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4" si="28">V110*(1+$W$19/100)</f>
        <v>3715.4670099287678</v>
      </c>
      <c r="X110" s="32">
        <f t="shared" ref="X110:X164" si="29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1248.7386478304743</v>
      </c>
      <c r="G111" s="200">
        <f>P46</f>
        <v>3964</v>
      </c>
      <c r="H111" s="200" t="s">
        <v>3881</v>
      </c>
      <c r="I111" s="200" t="s">
        <v>4704</v>
      </c>
      <c r="J111" s="216" t="s">
        <v>4391</v>
      </c>
      <c r="K111" s="200">
        <v>34</v>
      </c>
      <c r="L111" s="217">
        <f t="shared" si="26"/>
        <v>168300000</v>
      </c>
      <c r="M111" s="217">
        <f>N46+N30+N22</f>
        <v>232512384</v>
      </c>
      <c r="N111" s="184">
        <f t="shared" si="27"/>
        <v>-64212384</v>
      </c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8"/>
        <v>236.83252234520552</v>
      </c>
      <c r="X111" s="32">
        <f t="shared" si="29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7586.2068965517237</v>
      </c>
      <c r="G112" s="215">
        <f>P51</f>
        <v>652.5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168300000</v>
      </c>
      <c r="M112" s="1">
        <f>N51+N24+N31</f>
        <v>171283860</v>
      </c>
      <c r="N112" s="113">
        <f t="shared" si="27"/>
        <v>-2983860</v>
      </c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8"/>
        <v>4909.5567333698637</v>
      </c>
      <c r="X112" s="32">
        <f t="shared" si="29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862.74509803921569</v>
      </c>
      <c r="G113" s="200">
        <f>P53</f>
        <v>5737.5</v>
      </c>
      <c r="H113" s="200" t="s">
        <v>4705</v>
      </c>
      <c r="I113" s="200" t="s">
        <v>4704</v>
      </c>
      <c r="J113" s="216" t="s">
        <v>4537</v>
      </c>
      <c r="K113" s="200">
        <v>7</v>
      </c>
      <c r="L113" s="217">
        <f t="shared" si="26"/>
        <v>34650000</v>
      </c>
      <c r="M113" s="217">
        <f>N53</f>
        <v>16713337.5</v>
      </c>
      <c r="N113" s="184">
        <f t="shared" si="27"/>
        <v>17936662.5</v>
      </c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8"/>
        <v>3621.6689031452065</v>
      </c>
      <c r="X113" s="32">
        <f t="shared" si="29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1078.9249983652653</v>
      </c>
      <c r="G114" s="215">
        <f>P52</f>
        <v>4587.8999999999996</v>
      </c>
      <c r="H114" s="215" t="s">
        <v>4706</v>
      </c>
      <c r="I114" s="215" t="s">
        <v>4707</v>
      </c>
      <c r="J114" s="32" t="s">
        <v>4538</v>
      </c>
      <c r="K114" s="215">
        <v>34</v>
      </c>
      <c r="L114" s="1">
        <f t="shared" si="26"/>
        <v>168300000</v>
      </c>
      <c r="M114" s="1">
        <f>N52+N25</f>
        <v>131539680.89999999</v>
      </c>
      <c r="N114" s="113">
        <f t="shared" si="27"/>
        <v>36760319.100000009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8"/>
        <v>5722.9628795178087</v>
      </c>
      <c r="X114" s="32">
        <f t="shared" si="29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 t="shared" si="26"/>
        <v>9900000</v>
      </c>
      <c r="M115" s="217">
        <f>N54</f>
        <v>4749630</v>
      </c>
      <c r="N115" s="113">
        <f t="shared" si="27"/>
        <v>5150370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8"/>
        <v>405.22944526027402</v>
      </c>
      <c r="X115" s="32">
        <f t="shared" si="29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4847</v>
      </c>
      <c r="J116" s="32" t="s">
        <v>4296</v>
      </c>
      <c r="K116" s="215">
        <v>4</v>
      </c>
      <c r="L116" s="1">
        <f t="shared" si="26"/>
        <v>19800000</v>
      </c>
      <c r="M116" s="1">
        <f>N55</f>
        <v>2515421.5</v>
      </c>
      <c r="N116" s="113">
        <f t="shared" si="27"/>
        <v>17284578.5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8"/>
        <v>5806.1100624657538</v>
      </c>
      <c r="X116" s="32">
        <f t="shared" si="29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4950000</v>
      </c>
      <c r="M117" s="217">
        <f>N47+N49+N57+N56</f>
        <v>2701516.2</v>
      </c>
      <c r="N117" s="184">
        <f t="shared" si="27"/>
        <v>2248483.7999999998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8"/>
        <v>543.46497376438356</v>
      </c>
      <c r="X117" s="32">
        <f t="shared" si="29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4819</v>
      </c>
      <c r="K118" s="215"/>
      <c r="L118" s="1"/>
      <c r="M118" s="1"/>
      <c r="N118" s="113">
        <v>50000000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8"/>
        <v>788.9766912</v>
      </c>
      <c r="X118" s="32">
        <f t="shared" si="29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4956</v>
      </c>
      <c r="K119" s="200">
        <f>SUM(K109:K117)</f>
        <v>211</v>
      </c>
      <c r="L119" s="217"/>
      <c r="M119" s="217"/>
      <c r="N119" s="184"/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8"/>
        <v>5871.170918400001</v>
      </c>
      <c r="X119" s="32">
        <f t="shared" si="29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4950000</v>
      </c>
      <c r="M120" s="1">
        <f>K120*L120</f>
        <v>39600000</v>
      </c>
      <c r="N120" s="113">
        <f>SUM(N109:N118)-M120</f>
        <v>-31481450.5</v>
      </c>
      <c r="P120" s="114"/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U120*(1+$N$90+$Q$15*S120/36500)</f>
        <v>5671.543614246576</v>
      </c>
      <c r="W120" s="32">
        <f t="shared" si="28"/>
        <v>5784.9744865315079</v>
      </c>
      <c r="X120" s="32">
        <f t="shared" si="29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4982</v>
      </c>
      <c r="L121" s="217" t="s">
        <v>4253</v>
      </c>
      <c r="M121" s="217" t="s">
        <v>4679</v>
      </c>
      <c r="N121" s="184" t="s">
        <v>4680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8"/>
        <v>4236.9270883068502</v>
      </c>
      <c r="X121" s="32">
        <f t="shared" si="29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8"/>
        <v>5621.9025225205478</v>
      </c>
      <c r="X122" s="32">
        <f t="shared" si="29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M123" t="s">
        <v>25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8"/>
        <v>5209.4859169315068</v>
      </c>
      <c r="X123" s="32">
        <f t="shared" si="29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P124" s="114"/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8"/>
        <v>4038.0837120000006</v>
      </c>
      <c r="X124" s="32">
        <f t="shared" si="29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15" t="s">
        <v>5006</v>
      </c>
      <c r="G125" s="129" t="s">
        <v>5007</v>
      </c>
      <c r="H125" s="4" t="s">
        <v>4955</v>
      </c>
      <c r="I125" s="4" t="s">
        <v>4840</v>
      </c>
      <c r="J125" s="215" t="s">
        <v>4813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8"/>
        <v>376.63759890410961</v>
      </c>
      <c r="X125" s="32">
        <f t="shared" si="29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4814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169">
        <v>177438</v>
      </c>
      <c r="R126" s="212" t="s">
        <v>4685</v>
      </c>
      <c r="S126" s="212">
        <f t="shared" ref="S126:S129" si="34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8"/>
        <v>224.68194029589046</v>
      </c>
      <c r="X126" s="32">
        <f t="shared" si="29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1">
        <v>3307.5</v>
      </c>
      <c r="G127" s="1">
        <f>P46</f>
        <v>3964</v>
      </c>
      <c r="H127" s="215" t="s">
        <v>4391</v>
      </c>
      <c r="I127" s="215">
        <v>3761</v>
      </c>
      <c r="J127" s="1">
        <f>I127*G127</f>
        <v>14908604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559461</v>
      </c>
      <c r="R127" s="5" t="s">
        <v>4685</v>
      </c>
      <c r="S127" s="5">
        <f t="shared" si="34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8"/>
        <v>550.70378130410973</v>
      </c>
      <c r="X127" s="32">
        <f t="shared" si="29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5">AL128+AK127</f>
        <v>63</v>
      </c>
      <c r="AM127" s="189">
        <f t="shared" si="32"/>
        <v>-3036600</v>
      </c>
      <c r="AN127" s="149" t="s">
        <v>4649</v>
      </c>
    </row>
    <row r="128" spans="6:46">
      <c r="F128" s="1">
        <v>5249.5</v>
      </c>
      <c r="G128" s="1">
        <f>P50</f>
        <v>6302.8</v>
      </c>
      <c r="H128" s="215" t="s">
        <v>4395</v>
      </c>
      <c r="I128" s="215">
        <v>7163</v>
      </c>
      <c r="J128" s="1">
        <f>I128*G128</f>
        <v>45146956.399999999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8"/>
        <v>3451.0842551671235</v>
      </c>
      <c r="X128" s="32">
        <f t="shared" si="29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5"/>
        <v>63</v>
      </c>
      <c r="AM128" s="189">
        <f t="shared" si="32"/>
        <v>2477619459</v>
      </c>
      <c r="AN128" s="89" t="s">
        <v>4650</v>
      </c>
    </row>
    <row r="129" spans="6:44">
      <c r="F129" s="1">
        <v>519.79999999999995</v>
      </c>
      <c r="G129" s="1">
        <f>P51</f>
        <v>652.5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128675</v>
      </c>
      <c r="R129" s="212" t="s">
        <v>4685</v>
      </c>
      <c r="S129" s="212">
        <f t="shared" si="34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8"/>
        <v>758.58605891506841</v>
      </c>
      <c r="X129" s="32">
        <f t="shared" si="29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5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4587.8999999999996</v>
      </c>
      <c r="H130" s="215" t="s">
        <v>4538</v>
      </c>
      <c r="I130" s="215">
        <v>130</v>
      </c>
      <c r="J130" s="1">
        <f>I130*G130</f>
        <v>596427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8"/>
        <v>3444.6937656986302</v>
      </c>
      <c r="X130" s="32">
        <f t="shared" si="29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5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60651987.399999999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8"/>
        <v>545.10749010410962</v>
      </c>
      <c r="X131" s="32">
        <f t="shared" si="29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5"/>
        <v>57</v>
      </c>
      <c r="AM131" s="117">
        <f t="shared" si="32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8"/>
        <v>542.5211099178083</v>
      </c>
      <c r="X132" s="32">
        <f t="shared" si="29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5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8"/>
        <v>520.20559351232873</v>
      </c>
      <c r="X133" s="32">
        <f t="shared" si="29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5"/>
        <v>56</v>
      </c>
      <c r="AM133" s="117">
        <f t="shared" si="32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8"/>
        <v>3362.5372291068497</v>
      </c>
      <c r="X134" s="32">
        <f t="shared" si="29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5"/>
        <v>56</v>
      </c>
      <c r="AM134" s="90">
        <f t="shared" si="32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4966</v>
      </c>
      <c r="K135" s="246" t="s">
        <v>4569</v>
      </c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8"/>
        <v>192.19740059178082</v>
      </c>
      <c r="X135" s="32">
        <f t="shared" si="29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5"/>
        <v>56</v>
      </c>
      <c r="AM135" s="117">
        <f t="shared" si="32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4814</v>
      </c>
      <c r="K136" s="246" t="s">
        <v>4570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8"/>
        <v>3347.9678643287675</v>
      </c>
      <c r="X136" s="32">
        <f t="shared" si="29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5"/>
        <v>51</v>
      </c>
      <c r="AM136" s="90">
        <f t="shared" si="32"/>
        <v>218873028</v>
      </c>
      <c r="AN136" s="89" t="s">
        <v>4724</v>
      </c>
    </row>
    <row r="137" spans="6:44">
      <c r="F137" s="1">
        <v>3775.1</v>
      </c>
      <c r="G137" s="1">
        <f>P46</f>
        <v>3964</v>
      </c>
      <c r="H137" s="215" t="s">
        <v>4391</v>
      </c>
      <c r="I137" s="215">
        <v>1000</v>
      </c>
      <c r="J137" s="1">
        <f>I137*G137</f>
        <v>3964000</v>
      </c>
      <c r="K137" s="246" t="s">
        <v>4571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8"/>
        <v>3336.842070969863</v>
      </c>
      <c r="X137" s="32">
        <f t="shared" si="29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5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6250.1</v>
      </c>
      <c r="G138" s="1">
        <f>P50</f>
        <v>6302.8</v>
      </c>
      <c r="H138" s="215" t="s">
        <v>4967</v>
      </c>
      <c r="I138" s="215">
        <v>1000</v>
      </c>
      <c r="J138" s="1">
        <f t="shared" ref="J138:J140" si="36">I138*G138</f>
        <v>6302800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8"/>
        <v>523.1149979178083</v>
      </c>
      <c r="X138" s="32">
        <f t="shared" si="29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5"/>
        <v>44</v>
      </c>
      <c r="AM138" s="79">
        <f t="shared" si="32"/>
        <v>384536196</v>
      </c>
      <c r="AN138" s="121" t="s">
        <v>4669</v>
      </c>
    </row>
    <row r="139" spans="6:44">
      <c r="F139" s="1">
        <v>183</v>
      </c>
      <c r="G139" s="1">
        <f>P58</f>
        <v>198</v>
      </c>
      <c r="H139" s="215" t="s">
        <v>4243</v>
      </c>
      <c r="I139" s="215">
        <v>108344</v>
      </c>
      <c r="J139" s="1">
        <f t="shared" si="36"/>
        <v>21452112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8"/>
        <v>3306.1854808109597</v>
      </c>
      <c r="X139" s="32">
        <f t="shared" si="29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5"/>
        <v>42</v>
      </c>
      <c r="AM139" s="79">
        <f t="shared" si="32"/>
        <v>739001676</v>
      </c>
      <c r="AN139" s="121" t="s">
        <v>4742</v>
      </c>
    </row>
    <row r="140" spans="6:44">
      <c r="F140" s="1">
        <v>4485.1000000000004</v>
      </c>
      <c r="G140" s="1">
        <f>P52</f>
        <v>4587.8999999999996</v>
      </c>
      <c r="H140" s="215" t="s">
        <v>4538</v>
      </c>
      <c r="I140" s="215">
        <v>3</v>
      </c>
      <c r="J140" s="1">
        <f t="shared" si="36"/>
        <v>13763.699999999999</v>
      </c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8"/>
        <v>4953.3497118246587</v>
      </c>
      <c r="X140" s="32">
        <f t="shared" si="29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5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31732675.699999999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8"/>
        <v>4126.4561766575353</v>
      </c>
      <c r="X141" s="32">
        <f t="shared" si="29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5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8"/>
        <v>3335.6794520547946</v>
      </c>
      <c r="X142" s="32">
        <f t="shared" si="29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5"/>
        <v>17</v>
      </c>
      <c r="AM142" s="117">
        <f t="shared" si="32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8"/>
        <v>3512.36709369863</v>
      </c>
      <c r="X143" s="32">
        <f t="shared" si="29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5"/>
        <v>14</v>
      </c>
      <c r="AM143" s="117">
        <f t="shared" si="32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8"/>
        <v>5574.6548929315068</v>
      </c>
      <c r="X144" s="32">
        <f t="shared" si="29"/>
        <v>5683.9618516164383</v>
      </c>
      <c r="AH144" s="20">
        <v>124</v>
      </c>
      <c r="AI144" s="117" t="s">
        <v>4899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8"/>
        <v>4301.9196059178084</v>
      </c>
      <c r="X145" s="32">
        <f t="shared" si="29"/>
        <v>4386.2709707397262</v>
      </c>
      <c r="AH145" s="20">
        <v>125</v>
      </c>
      <c r="AI145" s="117" t="s">
        <v>4906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8"/>
        <v>5555.1605523287672</v>
      </c>
      <c r="X146" s="32">
        <f t="shared" si="29"/>
        <v>5664.0852690410966</v>
      </c>
      <c r="AH146" s="23">
        <v>126</v>
      </c>
      <c r="AI146" s="35" t="s">
        <v>4914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10:44">
      <c r="J147" t="s">
        <v>25</v>
      </c>
      <c r="O147">
        <f>O143+O144+O145</f>
        <v>834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8"/>
        <v>567.53187208767145</v>
      </c>
      <c r="X147" s="32">
        <f t="shared" si="29"/>
        <v>578.65994801095906</v>
      </c>
      <c r="Y147" s="96"/>
      <c r="Z147" s="96"/>
      <c r="AH147" s="20">
        <v>127</v>
      </c>
      <c r="AI147" s="117" t="s">
        <v>4925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8"/>
        <v>313.11481801643845</v>
      </c>
      <c r="X148" s="32">
        <f t="shared" si="29"/>
        <v>319.25432425205486</v>
      </c>
      <c r="Y148" s="96"/>
      <c r="Z148" s="96"/>
      <c r="AH148" s="99">
        <v>128</v>
      </c>
      <c r="AI148" s="113" t="s">
        <v>4939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8"/>
        <v>310.7332471232877</v>
      </c>
      <c r="X149" s="32">
        <f t="shared" si="29"/>
        <v>316.826055890411</v>
      </c>
      <c r="Y149" s="96"/>
      <c r="Z149" s="96"/>
      <c r="AH149" s="99">
        <v>129</v>
      </c>
      <c r="AI149" s="113" t="s">
        <v>4968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8"/>
        <v>5632.638934093151</v>
      </c>
      <c r="X150" s="32">
        <f t="shared" si="29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4970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4975</v>
      </c>
      <c r="AP150" t="s">
        <v>25</v>
      </c>
    </row>
    <row r="151" spans="10:44"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8"/>
        <v>320.44552280547947</v>
      </c>
      <c r="X151" s="32">
        <f t="shared" si="29"/>
        <v>326.72876835068496</v>
      </c>
      <c r="Y151" s="96"/>
      <c r="Z151" s="96"/>
      <c r="AA151" s="114"/>
      <c r="AC151" s="114"/>
      <c r="AH151" s="99">
        <v>131</v>
      </c>
      <c r="AI151" s="113" t="s">
        <v>4970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4974</v>
      </c>
    </row>
    <row r="152" spans="10:44">
      <c r="P152" s="114"/>
      <c r="Q152" s="169">
        <v>101344</v>
      </c>
      <c r="R152" s="215" t="s">
        <v>4914</v>
      </c>
      <c r="S152" s="215">
        <f>S151-5</f>
        <v>20</v>
      </c>
      <c r="T152" s="215" t="s">
        <v>4917</v>
      </c>
      <c r="U152" s="215">
        <v>113.6</v>
      </c>
      <c r="V152" s="99">
        <f t="shared" ref="V152:V164" si="41">U152*(1+$N$90+$Q$15*S152/36500)</f>
        <v>116.61522410958905</v>
      </c>
      <c r="W152" s="32">
        <f t="shared" si="28"/>
        <v>118.94752859178084</v>
      </c>
      <c r="X152" s="32">
        <f t="shared" si="29"/>
        <v>121.27983307397261</v>
      </c>
      <c r="Y152" s="96"/>
      <c r="Z152" s="96"/>
      <c r="AA152" s="114"/>
      <c r="AC152" s="114"/>
      <c r="AD152" s="114"/>
      <c r="AH152" s="99">
        <v>132</v>
      </c>
      <c r="AI152" s="113" t="s">
        <v>4993</v>
      </c>
      <c r="AJ152" s="113">
        <v>2520000</v>
      </c>
      <c r="AK152" s="99">
        <v>1</v>
      </c>
      <c r="AL152" s="20">
        <f t="shared" si="39"/>
        <v>1</v>
      </c>
      <c r="AM152" s="117">
        <f t="shared" si="40"/>
        <v>2520000</v>
      </c>
      <c r="AN152" s="20"/>
    </row>
    <row r="153" spans="10:44">
      <c r="Q153" s="169">
        <v>2148718</v>
      </c>
      <c r="R153" s="215" t="s">
        <v>4914</v>
      </c>
      <c r="S153" s="215">
        <f>S152</f>
        <v>20</v>
      </c>
      <c r="T153" s="215" t="s">
        <v>4918</v>
      </c>
      <c r="U153" s="215">
        <v>3400.3</v>
      </c>
      <c r="V153" s="99">
        <f t="shared" si="41"/>
        <v>3490.5523463013706</v>
      </c>
      <c r="W153" s="32">
        <f t="shared" si="28"/>
        <v>3560.3633932273979</v>
      </c>
      <c r="X153" s="32">
        <f t="shared" si="29"/>
        <v>3630.1744401534256</v>
      </c>
      <c r="Y153" s="96"/>
      <c r="Z153" s="96"/>
      <c r="AH153" s="99"/>
      <c r="AI153" s="113"/>
      <c r="AJ153" s="113"/>
      <c r="AK153" s="99"/>
      <c r="AL153" s="20">
        <f t="shared" si="39"/>
        <v>0</v>
      </c>
      <c r="AM153" s="117">
        <f t="shared" si="40"/>
        <v>0</v>
      </c>
      <c r="AN153" s="20"/>
    </row>
    <row r="154" spans="10:44">
      <c r="Q154" s="169">
        <v>119669</v>
      </c>
      <c r="R154" s="215" t="s">
        <v>981</v>
      </c>
      <c r="S154" s="215">
        <f>S153-2</f>
        <v>18</v>
      </c>
      <c r="T154" s="215" t="s">
        <v>4935</v>
      </c>
      <c r="U154" s="215">
        <v>3609.6</v>
      </c>
      <c r="V154" s="99">
        <f t="shared" si="41"/>
        <v>3699.8696679452055</v>
      </c>
      <c r="W154" s="32">
        <f t="shared" si="28"/>
        <v>3773.8670613041095</v>
      </c>
      <c r="X154" s="32">
        <f t="shared" si="29"/>
        <v>3847.8644546630139</v>
      </c>
      <c r="Y154" s="96"/>
      <c r="Z154" s="96"/>
      <c r="AH154" s="99"/>
      <c r="AI154" s="113"/>
      <c r="AJ154" s="113"/>
      <c r="AK154" s="99"/>
      <c r="AL154" s="20">
        <f t="shared" si="39"/>
        <v>0</v>
      </c>
      <c r="AM154" s="117">
        <f t="shared" si="40"/>
        <v>0</v>
      </c>
      <c r="AN154" s="20"/>
    </row>
    <row r="155" spans="10:44">
      <c r="Q155" s="169">
        <v>102362</v>
      </c>
      <c r="R155" s="215" t="s">
        <v>4939</v>
      </c>
      <c r="S155" s="215">
        <f>S154-8</f>
        <v>10</v>
      </c>
      <c r="T155" s="215" t="s">
        <v>4942</v>
      </c>
      <c r="U155" s="215">
        <v>4430</v>
      </c>
      <c r="V155" s="99">
        <f t="shared" si="41"/>
        <v>4513.5995616438358</v>
      </c>
      <c r="W155" s="32">
        <f t="shared" si="28"/>
        <v>4603.8715528767125</v>
      </c>
      <c r="X155" s="32">
        <f t="shared" si="29"/>
        <v>4694.1435441095891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10:44">
      <c r="Q156" s="169">
        <v>996877</v>
      </c>
      <c r="R156" s="215" t="s">
        <v>4968</v>
      </c>
      <c r="S156" s="215">
        <f>S155-10</f>
        <v>0</v>
      </c>
      <c r="T156" s="215" t="s">
        <v>4969</v>
      </c>
      <c r="U156" s="215">
        <v>4469.7</v>
      </c>
      <c r="V156" s="99">
        <f t="shared" si="41"/>
        <v>4519.7606400000004</v>
      </c>
      <c r="W156" s="32">
        <f t="shared" si="28"/>
        <v>4610.1558528000005</v>
      </c>
      <c r="X156" s="32">
        <f t="shared" si="29"/>
        <v>4700.5510656000006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17086367</v>
      </c>
      <c r="R157" s="215" t="s">
        <v>4970</v>
      </c>
      <c r="S157" s="215">
        <f>S156-1</f>
        <v>-1</v>
      </c>
      <c r="T157" s="215" t="s">
        <v>4978</v>
      </c>
      <c r="U157" s="215">
        <v>3751.1</v>
      </c>
      <c r="V157" s="99">
        <f t="shared" si="41"/>
        <v>3790.2347638356168</v>
      </c>
      <c r="W157" s="32">
        <f t="shared" si="28"/>
        <v>3866.039459112329</v>
      </c>
      <c r="X157" s="32">
        <f t="shared" si="29"/>
        <v>3941.8441543890417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26970108</v>
      </c>
      <c r="R158" s="215" t="s">
        <v>4970</v>
      </c>
      <c r="S158" s="215">
        <f>S157</f>
        <v>-1</v>
      </c>
      <c r="T158" s="215" t="s">
        <v>4979</v>
      </c>
      <c r="U158" s="215">
        <v>6110.2</v>
      </c>
      <c r="V158" s="99">
        <f t="shared" si="41"/>
        <v>6173.9469632876726</v>
      </c>
      <c r="W158" s="32">
        <f t="shared" si="28"/>
        <v>6297.4259025534266</v>
      </c>
      <c r="X158" s="32">
        <f t="shared" si="29"/>
        <v>6420.9048418191796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27144082</v>
      </c>
      <c r="R159" s="215" t="s">
        <v>4970</v>
      </c>
      <c r="S159" s="215">
        <f>S158</f>
        <v>-1</v>
      </c>
      <c r="T159" s="215" t="s">
        <v>4980</v>
      </c>
      <c r="U159" s="215">
        <v>4568.6000000000004</v>
      </c>
      <c r="V159" s="99">
        <f t="shared" si="41"/>
        <v>4616.2636405479461</v>
      </c>
      <c r="W159" s="32">
        <f t="shared" si="28"/>
        <v>4708.5889133589053</v>
      </c>
      <c r="X159" s="32">
        <f t="shared" si="29"/>
        <v>4800.9141861698645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6150141</v>
      </c>
      <c r="R160" s="215" t="s">
        <v>4970</v>
      </c>
      <c r="S160" s="215">
        <f>S159</f>
        <v>-1</v>
      </c>
      <c r="T160" s="215" t="s">
        <v>4981</v>
      </c>
      <c r="U160" s="215">
        <v>180.6</v>
      </c>
      <c r="V160" s="99">
        <f t="shared" si="41"/>
        <v>182.48417753424661</v>
      </c>
      <c r="W160" s="32">
        <f t="shared" si="28"/>
        <v>186.13386108493154</v>
      </c>
      <c r="X160" s="32">
        <f t="shared" si="29"/>
        <v>189.78354463561649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1664165</v>
      </c>
      <c r="R161" s="215" t="s">
        <v>4984</v>
      </c>
      <c r="S161" s="215">
        <f>S160-1</f>
        <v>-2</v>
      </c>
      <c r="T161" s="215" t="s">
        <v>4988</v>
      </c>
      <c r="U161" s="215">
        <v>4429.1000000000004</v>
      </c>
      <c r="V161" s="99">
        <f t="shared" si="41"/>
        <v>4471.9105884931514</v>
      </c>
      <c r="W161" s="32">
        <f t="shared" si="28"/>
        <v>4561.3488002630147</v>
      </c>
      <c r="X161" s="32">
        <f t="shared" si="29"/>
        <v>4650.787012032878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2521445</v>
      </c>
      <c r="R162" s="215" t="s">
        <v>4993</v>
      </c>
      <c r="S162" s="215">
        <f>S161-5</f>
        <v>-7</v>
      </c>
      <c r="T162" s="215" t="s">
        <v>4997</v>
      </c>
      <c r="U162" s="215">
        <v>4450</v>
      </c>
      <c r="V162" s="99">
        <f t="shared" si="41"/>
        <v>4475.9441095890415</v>
      </c>
      <c r="W162" s="32">
        <f t="shared" si="28"/>
        <v>4565.4629917808224</v>
      </c>
      <c r="X162" s="32">
        <f t="shared" si="29"/>
        <v>4654.9818739726034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4894</v>
      </c>
      <c r="G163">
        <v>1200</v>
      </c>
      <c r="H163" t="s">
        <v>4895</v>
      </c>
      <c r="Q163" s="169">
        <v>162112</v>
      </c>
      <c r="R163" s="215" t="s">
        <v>5000</v>
      </c>
      <c r="S163" s="215">
        <f>S162-1</f>
        <v>-8</v>
      </c>
      <c r="T163" s="215" t="s">
        <v>5003</v>
      </c>
      <c r="U163" s="215">
        <v>632.79999999999995</v>
      </c>
      <c r="V163" s="99">
        <f t="shared" si="41"/>
        <v>636.00387506849324</v>
      </c>
      <c r="W163" s="32">
        <f t="shared" si="28"/>
        <v>648.72395256986317</v>
      </c>
      <c r="X163" s="32">
        <f t="shared" si="29"/>
        <v>661.44403007123299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4896</v>
      </c>
      <c r="Q164" s="169"/>
      <c r="R164" s="168"/>
      <c r="S164" s="168"/>
      <c r="T164" s="168"/>
      <c r="U164" s="168"/>
      <c r="V164" s="99">
        <f t="shared" si="41"/>
        <v>0</v>
      </c>
      <c r="W164" s="32">
        <f t="shared" si="28"/>
        <v>0</v>
      </c>
      <c r="X164" s="32">
        <f t="shared" si="29"/>
        <v>0</v>
      </c>
      <c r="AH164" s="99"/>
      <c r="AI164" s="113"/>
      <c r="AJ164" s="113"/>
      <c r="AK164" s="99"/>
      <c r="AL164" s="99">
        <f t="shared" si="35"/>
        <v>0</v>
      </c>
      <c r="AM164" s="117">
        <f t="shared" si="32"/>
        <v>0</v>
      </c>
      <c r="AN164" s="99"/>
    </row>
    <row r="165" spans="6:40">
      <c r="G165">
        <v>1050</v>
      </c>
      <c r="H165" t="s">
        <v>4897</v>
      </c>
      <c r="Q165" s="113">
        <f>SUM(N46:N59)-SUM(Q88:Q164)</f>
        <v>82085498.5</v>
      </c>
      <c r="R165" s="112"/>
      <c r="S165" s="112"/>
      <c r="T165" s="112"/>
      <c r="U165" s="168"/>
      <c r="V165" s="99" t="s">
        <v>25</v>
      </c>
      <c r="W165" s="32"/>
      <c r="X165" s="32"/>
      <c r="AH165" s="99"/>
      <c r="AI165" s="99"/>
      <c r="AJ165" s="95">
        <f>SUM(AJ20:AJ164)</f>
        <v>576564113</v>
      </c>
      <c r="AK165" s="99"/>
      <c r="AL165" s="99"/>
      <c r="AM165" s="95">
        <f>SUM(AM20:AM164)</f>
        <v>64706092117</v>
      </c>
      <c r="AN165" s="95">
        <f>AM165*AN168/31</f>
        <v>34788917.332710937</v>
      </c>
    </row>
    <row r="166" spans="6:40">
      <c r="P166" s="114"/>
      <c r="Q166" s="26"/>
      <c r="R166" s="181"/>
      <c r="S166" s="181"/>
      <c r="T166" t="s">
        <v>25</v>
      </c>
      <c r="U166" s="96" t="s">
        <v>25</v>
      </c>
      <c r="V166" s="96" t="s">
        <v>25</v>
      </c>
      <c r="W166" s="9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R167" s="32" t="s">
        <v>4573</v>
      </c>
      <c r="S167" s="32" t="s">
        <v>950</v>
      </c>
      <c r="T167" t="s">
        <v>25</v>
      </c>
      <c r="U167" s="96" t="s">
        <v>25</v>
      </c>
      <c r="V167" s="96" t="s">
        <v>25</v>
      </c>
      <c r="W167" s="96" t="s">
        <v>25</v>
      </c>
      <c r="X167" s="122" t="s">
        <v>25</v>
      </c>
      <c r="AH167" s="99"/>
      <c r="AI167" s="99"/>
      <c r="AJ167" s="99"/>
      <c r="AK167" s="99"/>
      <c r="AL167" s="99"/>
      <c r="AM167" s="99"/>
      <c r="AN167" s="99"/>
    </row>
    <row r="168" spans="6:40">
      <c r="O168" s="96">
        <v>68796</v>
      </c>
      <c r="P168" s="114"/>
      <c r="R168" s="32">
        <v>2480</v>
      </c>
      <c r="S168" s="237">
        <v>13041741</v>
      </c>
      <c r="U168" s="96" t="s">
        <v>25</v>
      </c>
      <c r="V168" s="122" t="s">
        <v>25</v>
      </c>
      <c r="W168" s="96" t="s">
        <v>25</v>
      </c>
      <c r="X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O169" s="96">
        <v>154791</v>
      </c>
      <c r="P169">
        <f>R176+8424</f>
        <v>1673729</v>
      </c>
      <c r="Q169" t="s">
        <v>25</v>
      </c>
      <c r="R169" s="32">
        <v>1450</v>
      </c>
      <c r="S169" s="1">
        <f>S168*R169/R168</f>
        <v>7625211.4717741935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R170" s="32">
        <f>R168-R169</f>
        <v>1030</v>
      </c>
      <c r="S170" s="1">
        <f>R170*S168/R168</f>
        <v>5416529.5282258065</v>
      </c>
      <c r="V170" s="96"/>
      <c r="W170"/>
      <c r="X170" t="s">
        <v>25</v>
      </c>
      <c r="AH170" s="99"/>
      <c r="AI170" s="99" t="s">
        <v>4061</v>
      </c>
      <c r="AJ170" s="95">
        <f>AJ165+AN165</f>
        <v>611353030.33271098</v>
      </c>
      <c r="AK170" s="99"/>
      <c r="AL170" s="99"/>
      <c r="AM170" s="99"/>
      <c r="AN170" s="99"/>
    </row>
    <row r="171" spans="6:40">
      <c r="P171" s="114"/>
      <c r="V171" s="96"/>
      <c r="W171"/>
      <c r="AI171" t="s">
        <v>4064</v>
      </c>
      <c r="AJ171" s="114">
        <f>SUM(N44:N59)</f>
        <v>725862144.5</v>
      </c>
    </row>
    <row r="172" spans="6:40">
      <c r="Q172" s="99" t="s">
        <v>4463</v>
      </c>
      <c r="R172" s="99" t="s">
        <v>4465</v>
      </c>
      <c r="S172" s="99"/>
      <c r="T172" s="99" t="s">
        <v>4466</v>
      </c>
      <c r="U172" s="99"/>
      <c r="V172" s="99"/>
      <c r="W172" s="99" t="s">
        <v>4576</v>
      </c>
      <c r="AI172" t="s">
        <v>4136</v>
      </c>
      <c r="AJ172" s="114">
        <f>AJ171-AJ165</f>
        <v>149298031.5</v>
      </c>
      <c r="AM172" t="s">
        <v>25</v>
      </c>
    </row>
    <row r="173" spans="6:40">
      <c r="P173" s="114"/>
      <c r="Q173" s="113">
        <v>1000</v>
      </c>
      <c r="R173" s="99">
        <v>0.25</v>
      </c>
      <c r="S173" s="99"/>
      <c r="T173" s="99">
        <f>1-R173</f>
        <v>0.75</v>
      </c>
      <c r="U173" s="99"/>
      <c r="V173" s="99"/>
      <c r="W173" s="99"/>
      <c r="AI173" t="s">
        <v>943</v>
      </c>
      <c r="AJ173" s="114">
        <f>AN165</f>
        <v>34788917.332710937</v>
      </c>
      <c r="AN173" t="s">
        <v>25</v>
      </c>
    </row>
    <row r="174" spans="6:40">
      <c r="P174" s="114"/>
      <c r="Q174" s="168" t="s">
        <v>4450</v>
      </c>
      <c r="R174" s="168" t="s">
        <v>4468</v>
      </c>
      <c r="S174" s="168" t="s">
        <v>4470</v>
      </c>
      <c r="T174" s="168"/>
      <c r="U174" s="168" t="s">
        <v>4464</v>
      </c>
      <c r="V174" s="56" t="s">
        <v>4467</v>
      </c>
      <c r="W174" s="99"/>
      <c r="X174" s="115"/>
      <c r="AI174" t="s">
        <v>4065</v>
      </c>
      <c r="AJ174" s="114">
        <f>AJ171-AJ170</f>
        <v>114509114.16728902</v>
      </c>
      <c r="AN174" t="s">
        <v>25</v>
      </c>
    </row>
    <row r="175" spans="6:40">
      <c r="Q175" s="168" t="s">
        <v>751</v>
      </c>
      <c r="R175" s="56">
        <v>1722368</v>
      </c>
      <c r="S175" s="113">
        <f>R175*$T$257</f>
        <v>530029038.80135316</v>
      </c>
      <c r="T175" s="168"/>
      <c r="U175" s="168">
        <f>$Q$173*$T$173*S175/$R$199</f>
        <v>365.19629877785036</v>
      </c>
      <c r="V175" s="95">
        <f>S175+U175</f>
        <v>530029403.99765193</v>
      </c>
      <c r="W175" s="99">
        <f>R175*100/U254</f>
        <v>48.692839837046712</v>
      </c>
      <c r="X175" s="219"/>
      <c r="Y175" t="s">
        <v>25</v>
      </c>
      <c r="AM175" t="s">
        <v>25</v>
      </c>
    </row>
    <row r="176" spans="6:40">
      <c r="Q176" s="168" t="s">
        <v>4452</v>
      </c>
      <c r="R176" s="56">
        <v>1665305</v>
      </c>
      <c r="S176" s="113">
        <f>R176*$T$257</f>
        <v>512468884.96598136</v>
      </c>
      <c r="T176" s="168"/>
      <c r="U176" s="215">
        <f>$Q$173*$T$173*S176/$R$199</f>
        <v>353.09714435953759</v>
      </c>
      <c r="V176" s="95">
        <f t="shared" ref="V176:V177" si="42">S176+U176</f>
        <v>512469238.06312573</v>
      </c>
      <c r="W176" s="99">
        <f>R176*100/U254</f>
        <v>47.079619247938346</v>
      </c>
      <c r="X176" s="115"/>
      <c r="AJ176" t="s">
        <v>25</v>
      </c>
    </row>
    <row r="177" spans="16:44">
      <c r="Q177" s="168" t="s">
        <v>4451</v>
      </c>
      <c r="R177" s="56">
        <v>47604</v>
      </c>
      <c r="S177" s="113">
        <f>R177*$T$257</f>
        <v>14649309.766031194</v>
      </c>
      <c r="T177" s="168"/>
      <c r="U177" s="215">
        <f>$Q$173*$T$173*S177/$R$199</f>
        <v>10.093548305020059</v>
      </c>
      <c r="V177" s="95">
        <f t="shared" si="42"/>
        <v>14649319.8595795</v>
      </c>
      <c r="W177" s="99">
        <f>R177*100/U254</f>
        <v>1.3458064406693411</v>
      </c>
      <c r="X177" s="115"/>
    </row>
    <row r="178" spans="16:44">
      <c r="Q178" s="168" t="s">
        <v>1087</v>
      </c>
      <c r="R178" s="56">
        <v>101933</v>
      </c>
      <c r="S178" s="113">
        <f>R178*$T$257</f>
        <v>31368122.266634267</v>
      </c>
      <c r="T178" s="168"/>
      <c r="U178" s="215">
        <f>$Q$173*$T$173*S178/$R$199</f>
        <v>21.613008557592</v>
      </c>
      <c r="V178" s="95">
        <f>S178+U178</f>
        <v>31368143.879642826</v>
      </c>
      <c r="W178" s="99">
        <f>R178*100/U254</f>
        <v>2.8817344743455999</v>
      </c>
      <c r="X178" s="115"/>
    </row>
    <row r="179" spans="16:44">
      <c r="Q179" s="168"/>
      <c r="R179" s="56"/>
      <c r="S179" s="168"/>
      <c r="T179" s="168"/>
      <c r="U179" s="168"/>
      <c r="V179" s="168"/>
      <c r="W179" s="99"/>
      <c r="X179" s="96"/>
    </row>
    <row r="180" spans="16:44">
      <c r="Q180" s="168"/>
      <c r="R180" s="168"/>
      <c r="S180" s="168"/>
      <c r="T180" s="168"/>
      <c r="U180" s="168"/>
      <c r="V180" s="168"/>
      <c r="W180" s="99"/>
      <c r="X180" s="96"/>
    </row>
    <row r="181" spans="16:44">
      <c r="P181" s="114"/>
      <c r="Q181" s="99"/>
      <c r="R181" s="99"/>
      <c r="S181" s="99"/>
      <c r="T181" s="99" t="s">
        <v>25</v>
      </c>
      <c r="U181" s="99"/>
      <c r="V181" s="99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/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255</v>
      </c>
      <c r="AM182" s="99">
        <f>AJ182*AL182</f>
        <v>906734100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253</v>
      </c>
      <c r="AM183" s="99">
        <f t="shared" ref="AM183:AM211" si="44">AJ183*AL183</f>
        <v>435371761</v>
      </c>
      <c r="AN183" s="99" t="s">
        <v>4314</v>
      </c>
    </row>
    <row r="184" spans="16:44">
      <c r="Q184" s="96"/>
      <c r="R184" s="96"/>
      <c r="S184" s="96"/>
      <c r="T184" s="96"/>
      <c r="V184" s="96"/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202</v>
      </c>
      <c r="AM184" s="99">
        <f t="shared" si="44"/>
        <v>30300000</v>
      </c>
      <c r="AN184" s="99"/>
    </row>
    <row r="185" spans="16:44">
      <c r="Q185" s="96"/>
      <c r="R185" s="96"/>
      <c r="S185" s="96"/>
      <c r="T185" s="96"/>
      <c r="V185" s="96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199</v>
      </c>
      <c r="AM185" s="99">
        <f t="shared" si="44"/>
        <v>-18905000</v>
      </c>
      <c r="AN185" s="99"/>
    </row>
    <row r="186" spans="16:44">
      <c r="Q186" s="96"/>
      <c r="R186" s="96"/>
      <c r="S186" s="96"/>
      <c r="T186" s="96" t="s">
        <v>25</v>
      </c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191</v>
      </c>
      <c r="AM186" s="99">
        <f t="shared" si="44"/>
        <v>601650000</v>
      </c>
      <c r="AN186" s="99"/>
    </row>
    <row r="187" spans="16:44">
      <c r="Q187" s="96"/>
      <c r="R187" s="96"/>
      <c r="S187" s="96"/>
      <c r="T187" s="96"/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175</v>
      </c>
      <c r="AM187" s="99">
        <f t="shared" si="44"/>
        <v>-11375000</v>
      </c>
      <c r="AN187" s="99"/>
    </row>
    <row r="188" spans="16:44">
      <c r="Q188" s="96"/>
      <c r="R188" s="96"/>
      <c r="S188" s="96"/>
      <c r="T188" s="99" t="s">
        <v>180</v>
      </c>
      <c r="U188" s="99" t="s">
        <v>4486</v>
      </c>
      <c r="V188" s="99" t="s">
        <v>4487</v>
      </c>
      <c r="W188" s="99" t="s">
        <v>4497</v>
      </c>
      <c r="X188" s="99" t="s">
        <v>8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174</v>
      </c>
      <c r="AM188" s="99">
        <f t="shared" si="44"/>
        <v>-16530000</v>
      </c>
      <c r="AN188" s="99"/>
    </row>
    <row r="189" spans="16:44">
      <c r="Q189" s="36" t="s">
        <v>4572</v>
      </c>
      <c r="R189" s="95">
        <f>SUM(N46:N59)</f>
        <v>725862073.5</v>
      </c>
      <c r="T189" s="113" t="s">
        <v>4462</v>
      </c>
      <c r="U189" s="56">
        <v>1000000</v>
      </c>
      <c r="V189" s="113">
        <v>239.024</v>
      </c>
      <c r="W189" s="113">
        <f t="shared" ref="W189:W250" si="45">U189*V189</f>
        <v>239024000</v>
      </c>
      <c r="X189" s="99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168</v>
      </c>
      <c r="AM189" s="99">
        <f t="shared" si="44"/>
        <v>38976000</v>
      </c>
      <c r="AN189" s="99"/>
    </row>
    <row r="190" spans="16:44">
      <c r="Q190" s="99" t="s">
        <v>4453</v>
      </c>
      <c r="R190" s="95">
        <f>SUM(N21:N26)</f>
        <v>325168962.69999999</v>
      </c>
      <c r="T190" s="168" t="s">
        <v>4444</v>
      </c>
      <c r="U190" s="56">
        <v>5904</v>
      </c>
      <c r="V190" s="113">
        <v>237.148</v>
      </c>
      <c r="W190" s="113">
        <f t="shared" si="45"/>
        <v>1400121.7919999999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161</v>
      </c>
      <c r="AM190" s="99">
        <f t="shared" si="44"/>
        <v>2093000000</v>
      </c>
      <c r="AN190" s="99"/>
    </row>
    <row r="191" spans="16:44">
      <c r="Q191" s="99" t="s">
        <v>4454</v>
      </c>
      <c r="R191" s="95">
        <f>SUM(N29:N33)</f>
        <v>37292072.600000001</v>
      </c>
      <c r="T191" s="168" t="s">
        <v>4232</v>
      </c>
      <c r="U191" s="168">
        <v>1000</v>
      </c>
      <c r="V191" s="113">
        <v>247.393</v>
      </c>
      <c r="W191" s="113">
        <f t="shared" si="45"/>
        <v>247393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159</v>
      </c>
      <c r="AM191" s="99">
        <f t="shared" si="44"/>
        <v>1590000000</v>
      </c>
      <c r="AN191" s="99"/>
    </row>
    <row r="192" spans="16:44">
      <c r="Q192" s="99" t="s">
        <v>4455</v>
      </c>
      <c r="R192" s="95">
        <f>N44</f>
        <v>71</v>
      </c>
      <c r="T192" s="168" t="s">
        <v>4498</v>
      </c>
      <c r="U192" s="168">
        <v>8071</v>
      </c>
      <c r="V192" s="113">
        <v>247.797</v>
      </c>
      <c r="W192" s="113">
        <f t="shared" si="45"/>
        <v>1999969.5870000001</v>
      </c>
      <c r="X192" s="99" t="s">
        <v>4451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156</v>
      </c>
      <c r="AM192" s="99">
        <f t="shared" si="44"/>
        <v>530400000</v>
      </c>
      <c r="AN192" s="99"/>
    </row>
    <row r="193" spans="16:44">
      <c r="Q193" s="99" t="s">
        <v>4456</v>
      </c>
      <c r="R193" s="95">
        <f>N20</f>
        <v>484</v>
      </c>
      <c r="T193" s="168" t="s">
        <v>4498</v>
      </c>
      <c r="U193" s="168">
        <v>53672</v>
      </c>
      <c r="V193" s="113">
        <v>247.797</v>
      </c>
      <c r="W193" s="113">
        <f t="shared" si="45"/>
        <v>13299760.584000001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147</v>
      </c>
      <c r="AM193" s="99">
        <f t="shared" si="44"/>
        <v>-1284267558</v>
      </c>
      <c r="AN193" s="99"/>
    </row>
    <row r="194" spans="16:44">
      <c r="Q194" s="99" t="s">
        <v>4457</v>
      </c>
      <c r="R194" s="95">
        <f>N28</f>
        <v>417</v>
      </c>
      <c r="T194" s="168" t="s">
        <v>4506</v>
      </c>
      <c r="U194" s="168">
        <v>4099</v>
      </c>
      <c r="V194" s="113">
        <v>243.93</v>
      </c>
      <c r="W194" s="113">
        <f t="shared" si="45"/>
        <v>999869.07000000007</v>
      </c>
      <c r="X194" s="99" t="s">
        <v>4451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146</v>
      </c>
      <c r="AM194" s="99">
        <f t="shared" si="44"/>
        <v>81030000</v>
      </c>
      <c r="AN194" s="99"/>
    </row>
    <row r="195" spans="16:44">
      <c r="Q195" s="99" t="s">
        <v>4469</v>
      </c>
      <c r="R195" s="95">
        <v>0</v>
      </c>
      <c r="T195" s="168" t="s">
        <v>4506</v>
      </c>
      <c r="U195" s="168">
        <v>9301</v>
      </c>
      <c r="V195" s="113">
        <v>243.93</v>
      </c>
      <c r="W195" s="113">
        <f t="shared" si="45"/>
        <v>2268792.9300000002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141</v>
      </c>
      <c r="AM195" s="99">
        <f t="shared" si="44"/>
        <v>-63211428</v>
      </c>
      <c r="AN195" s="99"/>
    </row>
    <row r="196" spans="16:44">
      <c r="Q196" s="99" t="s">
        <v>4898</v>
      </c>
      <c r="R196" s="95">
        <v>0</v>
      </c>
      <c r="T196" s="168" t="s">
        <v>4512</v>
      </c>
      <c r="U196" s="168">
        <v>8334</v>
      </c>
      <c r="V196" s="113">
        <v>239.97</v>
      </c>
      <c r="W196" s="113">
        <f t="shared" si="45"/>
        <v>1999909.98</v>
      </c>
      <c r="X196" s="99" t="s">
        <v>4451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135</v>
      </c>
      <c r="AM196" s="99">
        <f t="shared" si="44"/>
        <v>4485375</v>
      </c>
      <c r="AN196" s="99"/>
    </row>
    <row r="197" spans="16:44">
      <c r="Q197" s="99" t="s">
        <v>4937</v>
      </c>
      <c r="R197" s="95">
        <v>200000</v>
      </c>
      <c r="T197" s="168" t="s">
        <v>4231</v>
      </c>
      <c r="U197" s="168">
        <v>29041</v>
      </c>
      <c r="V197" s="113">
        <v>233.45</v>
      </c>
      <c r="W197" s="113">
        <f t="shared" si="45"/>
        <v>6779621.4499999993</v>
      </c>
      <c r="X197" s="99" t="s">
        <v>751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135</v>
      </c>
      <c r="AM197" s="149">
        <f t="shared" si="44"/>
        <v>553300605</v>
      </c>
      <c r="AN197" s="149" t="s">
        <v>657</v>
      </c>
    </row>
    <row r="198" spans="16:44">
      <c r="Q198" s="99" t="s">
        <v>4718</v>
      </c>
      <c r="R198" s="95">
        <v>-8725</v>
      </c>
      <c r="S198" s="115"/>
      <c r="T198" s="168" t="s">
        <v>994</v>
      </c>
      <c r="U198" s="168">
        <v>12337</v>
      </c>
      <c r="V198" s="113">
        <v>243.16300000000001</v>
      </c>
      <c r="W198" s="113">
        <f t="shared" si="45"/>
        <v>2999901.9310000003</v>
      </c>
      <c r="X198" s="99" t="s">
        <v>4451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133</v>
      </c>
      <c r="AM198" s="149">
        <f t="shared" si="44"/>
        <v>-133000000</v>
      </c>
      <c r="AN198" s="149" t="s">
        <v>657</v>
      </c>
    </row>
    <row r="199" spans="16:44">
      <c r="Q199" s="99" t="s">
        <v>4461</v>
      </c>
      <c r="R199" s="95">
        <f>SUM(R189:R198)</f>
        <v>1088515355.8</v>
      </c>
      <c r="S199" s="122"/>
      <c r="T199" s="168" t="s">
        <v>4595</v>
      </c>
      <c r="U199" s="168">
        <v>-16118</v>
      </c>
      <c r="V199" s="113">
        <v>248.17</v>
      </c>
      <c r="W199" s="113">
        <f t="shared" si="45"/>
        <v>-4000004.0599999996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126</v>
      </c>
      <c r="AM199" s="149">
        <f t="shared" si="44"/>
        <v>94500000</v>
      </c>
      <c r="AN199" s="149" t="s">
        <v>657</v>
      </c>
      <c r="AQ199" t="s">
        <v>25</v>
      </c>
    </row>
    <row r="200" spans="16:44">
      <c r="Q200" s="96"/>
      <c r="S200" s="115"/>
      <c r="T200" s="168" t="s">
        <v>4624</v>
      </c>
      <c r="U200" s="168">
        <v>101681</v>
      </c>
      <c r="V200" s="113">
        <v>246.5711</v>
      </c>
      <c r="W200" s="113">
        <f t="shared" si="45"/>
        <v>25071596.019099999</v>
      </c>
      <c r="X200" s="99" t="s">
        <v>452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125</v>
      </c>
      <c r="AM200" s="196">
        <f t="shared" si="44"/>
        <v>-75519000</v>
      </c>
      <c r="AN200" s="196" t="s">
        <v>657</v>
      </c>
    </row>
    <row r="201" spans="16:44">
      <c r="Q201" s="96"/>
      <c r="R201" s="182"/>
      <c r="S201" s="115"/>
      <c r="T201" s="168" t="s">
        <v>4628</v>
      </c>
      <c r="U201" s="168">
        <v>66606</v>
      </c>
      <c r="V201" s="113">
        <v>251.131</v>
      </c>
      <c r="W201" s="113">
        <f t="shared" si="45"/>
        <v>16726831.386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125</v>
      </c>
      <c r="AM201" s="99">
        <f t="shared" si="44"/>
        <v>-73385375</v>
      </c>
      <c r="AN201" s="99"/>
    </row>
    <row r="202" spans="16:44">
      <c r="Q202" s="96"/>
      <c r="R202" s="182"/>
      <c r="T202" s="168" t="s">
        <v>4635</v>
      </c>
      <c r="U202" s="168">
        <v>172025</v>
      </c>
      <c r="V202" s="113">
        <v>245.52809999999999</v>
      </c>
      <c r="W202" s="113">
        <f t="shared" si="45"/>
        <v>42236971.402499996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121</v>
      </c>
      <c r="AM202" s="196">
        <f t="shared" si="44"/>
        <v>-91276471</v>
      </c>
      <c r="AN202" s="196" t="s">
        <v>657</v>
      </c>
      <c r="AR202" t="s">
        <v>25</v>
      </c>
    </row>
    <row r="203" spans="16:44">
      <c r="Q203" s="96"/>
      <c r="R203" s="115"/>
      <c r="T203" s="168" t="s">
        <v>4635</v>
      </c>
      <c r="U203" s="168">
        <v>189227</v>
      </c>
      <c r="V203" s="113">
        <v>245.52809999999999</v>
      </c>
      <c r="W203" s="113">
        <f t="shared" si="45"/>
        <v>46460545.778700002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121</v>
      </c>
      <c r="AM203" s="99">
        <f t="shared" si="44"/>
        <v>-22943899</v>
      </c>
      <c r="AN203" s="99"/>
    </row>
    <row r="204" spans="16:44">
      <c r="T204" s="168" t="s">
        <v>4638</v>
      </c>
      <c r="U204" s="168">
        <v>79720</v>
      </c>
      <c r="V204" s="113">
        <v>246.6568</v>
      </c>
      <c r="W204" s="113">
        <f t="shared" si="45"/>
        <v>19663480.096000001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106</v>
      </c>
      <c r="AM204" s="196">
        <f t="shared" si="44"/>
        <v>752600</v>
      </c>
      <c r="AN204" s="196" t="s">
        <v>657</v>
      </c>
    </row>
    <row r="205" spans="16:44">
      <c r="P205" s="99" t="s">
        <v>8</v>
      </c>
      <c r="Q205" s="99" t="s">
        <v>4451</v>
      </c>
      <c r="R205" s="99"/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106</v>
      </c>
      <c r="AM205" s="20">
        <f t="shared" si="44"/>
        <v>-15677612</v>
      </c>
      <c r="AN205" s="20"/>
      <c r="AR205" t="s">
        <v>25</v>
      </c>
    </row>
    <row r="206" spans="16:44">
      <c r="P206" s="99"/>
      <c r="Q206" s="36" t="s">
        <v>180</v>
      </c>
      <c r="R206" s="99" t="s">
        <v>267</v>
      </c>
      <c r="T206" s="168" t="s">
        <v>4665</v>
      </c>
      <c r="U206" s="168">
        <v>17769</v>
      </c>
      <c r="V206" s="113">
        <v>246.17877999999999</v>
      </c>
      <c r="W206" s="113">
        <f t="shared" si="45"/>
        <v>4374350.7418200001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103</v>
      </c>
      <c r="AM206" s="196">
        <f t="shared" si="44"/>
        <v>-3831600</v>
      </c>
      <c r="AN206" s="149" t="s">
        <v>657</v>
      </c>
    </row>
    <row r="207" spans="16:44">
      <c r="P207" s="99"/>
      <c r="Q207" s="99" t="s">
        <v>4444</v>
      </c>
      <c r="R207" s="95">
        <v>3000000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452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99</v>
      </c>
      <c r="AM207" s="20">
        <f t="shared" si="44"/>
        <v>-36860274</v>
      </c>
      <c r="AN207" s="99"/>
    </row>
    <row r="208" spans="16:44">
      <c r="P208" s="99"/>
      <c r="Q208" s="99" t="s">
        <v>4498</v>
      </c>
      <c r="R208" s="95">
        <v>2000000</v>
      </c>
      <c r="T208" s="168" t="s">
        <v>4671</v>
      </c>
      <c r="U208" s="168">
        <v>12438</v>
      </c>
      <c r="V208" s="113">
        <v>241.20465999999999</v>
      </c>
      <c r="W208" s="113">
        <f t="shared" si="45"/>
        <v>3000103.5610799999</v>
      </c>
      <c r="X208" s="99" t="s">
        <v>4451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78</v>
      </c>
      <c r="AM208" s="20">
        <f t="shared" si="44"/>
        <v>18334836</v>
      </c>
      <c r="AN208" s="99"/>
    </row>
    <row r="209" spans="16:45">
      <c r="P209" s="99"/>
      <c r="Q209" s="99" t="s">
        <v>4506</v>
      </c>
      <c r="R209" s="95">
        <v>1000000</v>
      </c>
      <c r="T209" s="168" t="s">
        <v>4681</v>
      </c>
      <c r="U209" s="168">
        <v>27363</v>
      </c>
      <c r="V209" s="113">
        <v>239.3886</v>
      </c>
      <c r="W209" s="113">
        <f t="shared" si="45"/>
        <v>6550390.2617999995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78</v>
      </c>
      <c r="AM209" s="149">
        <f t="shared" si="44"/>
        <v>18334836</v>
      </c>
      <c r="AN209" s="149" t="s">
        <v>657</v>
      </c>
      <c r="AP209" t="s">
        <v>25</v>
      </c>
    </row>
    <row r="210" spans="16:45">
      <c r="P210" s="99"/>
      <c r="Q210" s="99" t="s">
        <v>4512</v>
      </c>
      <c r="R210" s="95">
        <v>2000000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452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6"/>
        <v>69</v>
      </c>
      <c r="AM210" s="149">
        <f t="shared" si="44"/>
        <v>31050000</v>
      </c>
      <c r="AN210" s="149" t="s">
        <v>657</v>
      </c>
    </row>
    <row r="211" spans="16:45">
      <c r="P211" s="99"/>
      <c r="Q211" s="99" t="s">
        <v>994</v>
      </c>
      <c r="R211" s="95">
        <v>3000000</v>
      </c>
      <c r="T211" s="212" t="s">
        <v>4685</v>
      </c>
      <c r="U211" s="212">
        <v>27437</v>
      </c>
      <c r="V211" s="113">
        <v>242.4015</v>
      </c>
      <c r="W211" s="113">
        <f t="shared" si="45"/>
        <v>6650769.9555000002</v>
      </c>
      <c r="X211" s="99" t="s">
        <v>751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69</v>
      </c>
      <c r="AM211" s="20">
        <f t="shared" si="44"/>
        <v>31050000</v>
      </c>
      <c r="AN211" s="20"/>
      <c r="AR211" t="s">
        <v>25</v>
      </c>
    </row>
    <row r="212" spans="16:45">
      <c r="P212" s="99"/>
      <c r="Q212" s="99" t="s">
        <v>4671</v>
      </c>
      <c r="R212" s="95">
        <v>3000000</v>
      </c>
      <c r="T212" s="212" t="s">
        <v>4685</v>
      </c>
      <c r="U212" s="212">
        <v>29104</v>
      </c>
      <c r="V212" s="113">
        <v>242.4015</v>
      </c>
      <c r="W212" s="113">
        <f t="shared" si="45"/>
        <v>7054853.2560000001</v>
      </c>
      <c r="X212" s="99" t="s">
        <v>452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30" si="47">AK212+AL213</f>
        <v>47</v>
      </c>
      <c r="AM212" s="149">
        <f t="shared" ref="AM212:AM215" si="48">AJ212*AL212</f>
        <v>14100000</v>
      </c>
      <c r="AN212" s="149"/>
      <c r="AQ212" t="s">
        <v>25</v>
      </c>
    </row>
    <row r="213" spans="16:45" ht="30">
      <c r="P213" s="99" t="s">
        <v>4921</v>
      </c>
      <c r="Q213" s="99" t="s">
        <v>4914</v>
      </c>
      <c r="R213" s="95">
        <v>-800000</v>
      </c>
      <c r="T213" s="215" t="s">
        <v>4722</v>
      </c>
      <c r="U213" s="215">
        <v>8991</v>
      </c>
      <c r="V213" s="113">
        <v>238.64867000000001</v>
      </c>
      <c r="W213" s="113">
        <f t="shared" si="45"/>
        <v>2145690.19197</v>
      </c>
      <c r="X213" s="99" t="s">
        <v>751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47</v>
      </c>
      <c r="AM213" s="121">
        <f t="shared" si="48"/>
        <v>13579992</v>
      </c>
      <c r="AN213" s="207" t="s">
        <v>4754</v>
      </c>
    </row>
    <row r="214" spans="16:45">
      <c r="P214" s="99" t="s">
        <v>4922</v>
      </c>
      <c r="Q214" s="99" t="s">
        <v>4914</v>
      </c>
      <c r="R214" s="95">
        <v>-900000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452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44</v>
      </c>
      <c r="AM214" s="121">
        <f t="shared" si="48"/>
        <v>790349604</v>
      </c>
      <c r="AN214" s="121" t="s">
        <v>4759</v>
      </c>
    </row>
    <row r="215" spans="16:45">
      <c r="P215" s="99" t="s">
        <v>4922</v>
      </c>
      <c r="Q215" s="99" t="s">
        <v>981</v>
      </c>
      <c r="R215" s="95">
        <v>-1100000</v>
      </c>
      <c r="T215" s="215" t="s">
        <v>4737</v>
      </c>
      <c r="U215" s="215">
        <v>18170</v>
      </c>
      <c r="V215" s="113">
        <v>240.48475999999999</v>
      </c>
      <c r="W215" s="113">
        <f t="shared" si="45"/>
        <v>4369608.0892000003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43</v>
      </c>
      <c r="AM215" s="121">
        <f t="shared" si="48"/>
        <v>789630973</v>
      </c>
      <c r="AN215" s="121" t="s">
        <v>4759</v>
      </c>
    </row>
    <row r="216" spans="16:45">
      <c r="P216" s="196" t="s">
        <v>1087</v>
      </c>
      <c r="Q216" s="196" t="s">
        <v>4955</v>
      </c>
      <c r="R216" s="245">
        <v>30000000</v>
      </c>
      <c r="S216" t="s">
        <v>25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452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42</v>
      </c>
      <c r="AM216" s="121">
        <f t="shared" ref="AM216:AM231" si="49">AJ216*AL216</f>
        <v>992141514</v>
      </c>
      <c r="AN216" s="121" t="s">
        <v>4774</v>
      </c>
      <c r="AS216" t="s">
        <v>25</v>
      </c>
    </row>
    <row r="217" spans="16:45">
      <c r="P217" s="99"/>
      <c r="Q217" s="99"/>
      <c r="R217" s="95"/>
      <c r="T217" s="215" t="s">
        <v>4741</v>
      </c>
      <c r="U217" s="215">
        <v>36797</v>
      </c>
      <c r="V217" s="113">
        <v>239.0822</v>
      </c>
      <c r="W217" s="113">
        <f t="shared" si="45"/>
        <v>8797507.7134000007</v>
      </c>
      <c r="X217" s="99" t="s">
        <v>751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37</v>
      </c>
      <c r="AM217" s="121">
        <f t="shared" si="49"/>
        <v>3052355996</v>
      </c>
      <c r="AN217" s="121" t="s">
        <v>4794</v>
      </c>
    </row>
    <row r="218" spans="16:45">
      <c r="P218" s="99"/>
      <c r="Q218" s="99"/>
      <c r="R218" s="95">
        <f>SUM(R207:R216)</f>
        <v>41200000</v>
      </c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452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36</v>
      </c>
      <c r="AM218" s="121">
        <f t="shared" si="49"/>
        <v>2687672196</v>
      </c>
      <c r="AN218" s="121" t="s">
        <v>4802</v>
      </c>
    </row>
    <row r="219" spans="16:45">
      <c r="P219" s="99"/>
      <c r="Q219" s="99"/>
      <c r="R219" s="99" t="s">
        <v>6</v>
      </c>
      <c r="T219" s="215" t="s">
        <v>4752</v>
      </c>
      <c r="U219" s="215">
        <v>28066</v>
      </c>
      <c r="V219" s="113">
        <v>237.56970000000001</v>
      </c>
      <c r="W219" s="113">
        <f t="shared" si="45"/>
        <v>6667631.2002000008</v>
      </c>
      <c r="X219" s="99" t="s">
        <v>751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20</v>
      </c>
      <c r="AM219" s="20">
        <f t="shared" si="49"/>
        <v>13300000</v>
      </c>
      <c r="AN219" s="99"/>
    </row>
    <row r="220" spans="16:45"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452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20</v>
      </c>
      <c r="AM220" s="196">
        <f t="shared" ref="AM220:AM221" si="50">AJ220*AL220</f>
        <v>13300000</v>
      </c>
      <c r="AN220" s="196"/>
    </row>
    <row r="221" spans="16:45">
      <c r="Q221" s="96"/>
      <c r="R221" s="96" t="s">
        <v>25</v>
      </c>
      <c r="T221" s="215" t="s">
        <v>3684</v>
      </c>
      <c r="U221" s="215">
        <v>37457</v>
      </c>
      <c r="V221" s="113">
        <v>239.77</v>
      </c>
      <c r="W221" s="113">
        <f t="shared" si="45"/>
        <v>8981064.8900000006</v>
      </c>
      <c r="X221" s="99" t="s">
        <v>751</v>
      </c>
      <c r="AH221" s="20">
        <v>40</v>
      </c>
      <c r="AI221" s="20" t="s">
        <v>4906</v>
      </c>
      <c r="AJ221" s="117">
        <v>2000000</v>
      </c>
      <c r="AK221" s="20">
        <v>1</v>
      </c>
      <c r="AL221" s="99">
        <f t="shared" si="47"/>
        <v>16</v>
      </c>
      <c r="AM221" s="20">
        <f t="shared" si="50"/>
        <v>32000000</v>
      </c>
      <c r="AN221" s="99"/>
    </row>
    <row r="222" spans="16:45">
      <c r="Q222" s="96"/>
      <c r="R222" s="96"/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452</v>
      </c>
      <c r="Y222" s="96"/>
      <c r="AH222" s="20">
        <v>41</v>
      </c>
      <c r="AI222" s="20" t="s">
        <v>4914</v>
      </c>
      <c r="AJ222" s="117">
        <v>-2060725</v>
      </c>
      <c r="AK222" s="20">
        <v>0</v>
      </c>
      <c r="AL222" s="99">
        <f t="shared" si="47"/>
        <v>15</v>
      </c>
      <c r="AM222" s="20">
        <f t="shared" ref="AM222:AM230" si="51">AJ222*AL222</f>
        <v>-30910875</v>
      </c>
      <c r="AN222" s="99" t="s">
        <v>4915</v>
      </c>
    </row>
    <row r="223" spans="16:45">
      <c r="T223" s="215" t="s">
        <v>4765</v>
      </c>
      <c r="U223" s="215">
        <v>38412</v>
      </c>
      <c r="V223" s="113">
        <v>239.03</v>
      </c>
      <c r="W223" s="113">
        <f t="shared" si="45"/>
        <v>9181620.3599999994</v>
      </c>
      <c r="X223" s="99" t="s">
        <v>751</v>
      </c>
      <c r="Y223" t="s">
        <v>25</v>
      </c>
      <c r="AH223" s="149">
        <v>42</v>
      </c>
      <c r="AI223" s="149" t="s">
        <v>4914</v>
      </c>
      <c r="AJ223" s="189">
        <v>-433375</v>
      </c>
      <c r="AK223" s="149">
        <v>0</v>
      </c>
      <c r="AL223" s="149">
        <f t="shared" si="47"/>
        <v>15</v>
      </c>
      <c r="AM223" s="149">
        <f t="shared" si="51"/>
        <v>-6500625</v>
      </c>
      <c r="AN223" s="149" t="s">
        <v>4916</v>
      </c>
    </row>
    <row r="224" spans="16:45">
      <c r="Q224" s="99" t="s">
        <v>751</v>
      </c>
      <c r="R224" s="99"/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452</v>
      </c>
      <c r="Z224" t="s">
        <v>25</v>
      </c>
      <c r="AH224" s="20">
        <v>43</v>
      </c>
      <c r="AI224" s="20" t="s">
        <v>4914</v>
      </c>
      <c r="AJ224" s="117">
        <v>28000000</v>
      </c>
      <c r="AK224" s="20">
        <v>1</v>
      </c>
      <c r="AL224" s="99">
        <f t="shared" si="47"/>
        <v>15</v>
      </c>
      <c r="AM224" s="20">
        <f t="shared" si="51"/>
        <v>420000000</v>
      </c>
      <c r="AN224" s="99" t="s">
        <v>3891</v>
      </c>
    </row>
    <row r="225" spans="17:40">
      <c r="Q225" s="99" t="s">
        <v>4444</v>
      </c>
      <c r="R225" s="95">
        <v>172908000</v>
      </c>
      <c r="T225" s="215" t="s">
        <v>4775</v>
      </c>
      <c r="U225" s="215">
        <v>49555</v>
      </c>
      <c r="V225" s="113">
        <v>238.345</v>
      </c>
      <c r="W225" s="113">
        <f t="shared" si="45"/>
        <v>11811186.475</v>
      </c>
      <c r="X225" s="99" t="s">
        <v>751</v>
      </c>
      <c r="AH225" s="20">
        <v>44</v>
      </c>
      <c r="AI225" s="20" t="s">
        <v>4925</v>
      </c>
      <c r="AJ225" s="117">
        <v>160000</v>
      </c>
      <c r="AK225" s="20">
        <v>0</v>
      </c>
      <c r="AL225" s="99">
        <f t="shared" si="47"/>
        <v>14</v>
      </c>
      <c r="AM225" s="20">
        <f t="shared" si="51"/>
        <v>2240000</v>
      </c>
      <c r="AN225" s="99"/>
    </row>
    <row r="226" spans="17:40">
      <c r="Q226" s="99" t="s">
        <v>4485</v>
      </c>
      <c r="R226" s="95">
        <v>1400000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452</v>
      </c>
      <c r="AH226" s="149">
        <v>45</v>
      </c>
      <c r="AI226" s="149" t="s">
        <v>4925</v>
      </c>
      <c r="AJ226" s="189">
        <v>70000</v>
      </c>
      <c r="AK226" s="149">
        <v>9</v>
      </c>
      <c r="AL226" s="149">
        <f t="shared" si="47"/>
        <v>14</v>
      </c>
      <c r="AM226" s="149">
        <f t="shared" si="51"/>
        <v>980000</v>
      </c>
      <c r="AN226" s="149"/>
    </row>
    <row r="227" spans="17:40">
      <c r="Q227" s="99" t="s">
        <v>4232</v>
      </c>
      <c r="R227" s="95">
        <v>247393</v>
      </c>
      <c r="T227" s="215" t="s">
        <v>4793</v>
      </c>
      <c r="U227" s="215">
        <v>160187</v>
      </c>
      <c r="V227" s="113">
        <v>257.49799999999999</v>
      </c>
      <c r="W227" s="113">
        <f t="shared" si="45"/>
        <v>41247832.126000002</v>
      </c>
      <c r="X227" s="99" t="s">
        <v>751</v>
      </c>
      <c r="AH227" s="20">
        <v>46</v>
      </c>
      <c r="AI227" s="20" t="s">
        <v>4939</v>
      </c>
      <c r="AJ227" s="117">
        <v>850000</v>
      </c>
      <c r="AK227" s="20">
        <v>0</v>
      </c>
      <c r="AL227" s="99">
        <f t="shared" si="47"/>
        <v>5</v>
      </c>
      <c r="AM227" s="20">
        <f t="shared" si="51"/>
        <v>4250000</v>
      </c>
      <c r="AN227" s="99"/>
    </row>
    <row r="228" spans="17:40">
      <c r="Q228" s="99" t="s">
        <v>4231</v>
      </c>
      <c r="R228" s="95">
        <v>6780000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452</v>
      </c>
      <c r="AH228" s="196">
        <v>47</v>
      </c>
      <c r="AI228" s="196" t="s">
        <v>4939</v>
      </c>
      <c r="AJ228" s="197">
        <v>20000</v>
      </c>
      <c r="AK228" s="196">
        <v>4</v>
      </c>
      <c r="AL228" s="196">
        <f t="shared" si="47"/>
        <v>5</v>
      </c>
      <c r="AM228" s="196">
        <f t="shared" si="51"/>
        <v>100000</v>
      </c>
      <c r="AN228" s="196"/>
    </row>
    <row r="229" spans="17:40">
      <c r="Q229" s="99" t="s">
        <v>4595</v>
      </c>
      <c r="R229" s="95">
        <v>-4000000</v>
      </c>
      <c r="S229" t="s">
        <v>25</v>
      </c>
      <c r="T229" s="215" t="s">
        <v>4803</v>
      </c>
      <c r="U229" s="215">
        <v>144401</v>
      </c>
      <c r="V229" s="113">
        <v>258.5061</v>
      </c>
      <c r="W229" s="113">
        <f t="shared" si="45"/>
        <v>37328539.346100003</v>
      </c>
      <c r="X229" s="99" t="s">
        <v>751</v>
      </c>
      <c r="AH229" s="196">
        <v>48</v>
      </c>
      <c r="AI229" s="196" t="s">
        <v>4955</v>
      </c>
      <c r="AJ229" s="197">
        <v>30000000</v>
      </c>
      <c r="AK229" s="196">
        <v>1</v>
      </c>
      <c r="AL229" s="196">
        <f t="shared" si="47"/>
        <v>1</v>
      </c>
      <c r="AM229" s="196">
        <f t="shared" si="51"/>
        <v>30000000</v>
      </c>
      <c r="AN229" s="196" t="s">
        <v>4957</v>
      </c>
    </row>
    <row r="230" spans="17:40">
      <c r="Q230" s="99" t="s">
        <v>4628</v>
      </c>
      <c r="R230" s="95">
        <v>16727037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452</v>
      </c>
      <c r="AH230" s="99"/>
      <c r="AI230" s="99"/>
      <c r="AJ230" s="117"/>
      <c r="AK230" s="99"/>
      <c r="AL230" s="99">
        <f t="shared" si="47"/>
        <v>0</v>
      </c>
      <c r="AM230" s="20">
        <f t="shared" si="51"/>
        <v>0</v>
      </c>
      <c r="AN230" s="99"/>
    </row>
    <row r="231" spans="17:40">
      <c r="Q231" s="99" t="s">
        <v>4635</v>
      </c>
      <c r="R231" s="95">
        <v>46460683</v>
      </c>
      <c r="T231" s="168" t="s">
        <v>4812</v>
      </c>
      <c r="U231" s="168">
        <v>196500</v>
      </c>
      <c r="V231" s="113">
        <v>254.452</v>
      </c>
      <c r="W231" s="113">
        <f t="shared" si="45"/>
        <v>49999818</v>
      </c>
      <c r="X231" s="99" t="s">
        <v>4820</v>
      </c>
      <c r="AH231" s="99"/>
      <c r="AI231" s="99"/>
      <c r="AJ231" s="117"/>
      <c r="AK231" s="99"/>
      <c r="AL231" s="99">
        <f t="shared" ref="AL231" si="52">AK231+AL234</f>
        <v>0</v>
      </c>
      <c r="AM231" s="99">
        <f t="shared" si="49"/>
        <v>0</v>
      </c>
      <c r="AN231" s="99"/>
    </row>
    <row r="232" spans="17:40">
      <c r="Q232" s="99" t="s">
        <v>4638</v>
      </c>
      <c r="R232" s="95">
        <v>19663646</v>
      </c>
      <c r="T232" s="215" t="s">
        <v>4812</v>
      </c>
      <c r="U232" s="215">
        <v>2561</v>
      </c>
      <c r="V232" s="113">
        <v>254.536</v>
      </c>
      <c r="W232" s="113">
        <f t="shared" si="45"/>
        <v>651866.696</v>
      </c>
      <c r="X232" s="99" t="s">
        <v>4821</v>
      </c>
      <c r="AH232" s="99"/>
      <c r="AI232" s="99"/>
      <c r="AJ232" s="95">
        <f>SUM(AJ182:AJ231)</f>
        <v>306517098</v>
      </c>
      <c r="AK232" s="99"/>
      <c r="AL232" s="99"/>
      <c r="AM232" s="99">
        <f>SUM(AM182:AM231)</f>
        <v>14031075671</v>
      </c>
      <c r="AN232" s="95">
        <f>AM232*AN168/31</f>
        <v>7543739.9422115162</v>
      </c>
    </row>
    <row r="233" spans="17:40">
      <c r="Q233" s="99" t="s">
        <v>4665</v>
      </c>
      <c r="R233" s="95">
        <v>4374525</v>
      </c>
      <c r="S233" t="s">
        <v>25</v>
      </c>
      <c r="T233" s="215" t="s">
        <v>4872</v>
      </c>
      <c r="U233" s="215">
        <v>-11795</v>
      </c>
      <c r="V233" s="113">
        <v>254.334</v>
      </c>
      <c r="W233" s="113">
        <f t="shared" si="45"/>
        <v>-2999869.5300000003</v>
      </c>
      <c r="X233" s="99" t="s">
        <v>4873</v>
      </c>
      <c r="AJ233" t="s">
        <v>4059</v>
      </c>
      <c r="AM233" t="s">
        <v>284</v>
      </c>
      <c r="AN233" t="s">
        <v>943</v>
      </c>
    </row>
    <row r="234" spans="17:40">
      <c r="Q234" s="99" t="s">
        <v>4681</v>
      </c>
      <c r="R234" s="95">
        <v>6550580</v>
      </c>
      <c r="T234" s="215" t="s">
        <v>4872</v>
      </c>
      <c r="U234" s="215">
        <v>11795</v>
      </c>
      <c r="V234" s="113">
        <v>254.334</v>
      </c>
      <c r="W234" s="113">
        <f t="shared" si="45"/>
        <v>2999869.5300000003</v>
      </c>
      <c r="X234" s="99" t="s">
        <v>4874</v>
      </c>
    </row>
    <row r="235" spans="17:40">
      <c r="Q235" s="99" t="s">
        <v>4685</v>
      </c>
      <c r="R235" s="95">
        <v>6650895</v>
      </c>
      <c r="T235" s="215" t="s">
        <v>4890</v>
      </c>
      <c r="U235" s="215">
        <v>260</v>
      </c>
      <c r="V235" s="113">
        <v>263.19</v>
      </c>
      <c r="W235" s="113">
        <f t="shared" si="45"/>
        <v>68429.399999999994</v>
      </c>
      <c r="X235" s="99" t="s">
        <v>452</v>
      </c>
      <c r="AI235" t="s">
        <v>4061</v>
      </c>
      <c r="AJ235" s="114">
        <f>AJ232+AN232</f>
        <v>314060837.94221151</v>
      </c>
    </row>
    <row r="236" spans="17:40">
      <c r="Q236" s="99" t="s">
        <v>4722</v>
      </c>
      <c r="R236" s="95">
        <v>2145814</v>
      </c>
      <c r="T236" s="215" t="s">
        <v>4906</v>
      </c>
      <c r="U236" s="215">
        <v>15257</v>
      </c>
      <c r="V236" s="113">
        <v>262.19018</v>
      </c>
      <c r="W236" s="113">
        <f t="shared" si="45"/>
        <v>4000235.57626</v>
      </c>
      <c r="X236" s="99" t="s">
        <v>452</v>
      </c>
      <c r="AI236" t="s">
        <v>4064</v>
      </c>
      <c r="AJ236" s="114">
        <f>SUM(N20:N33)</f>
        <v>362461936.30000001</v>
      </c>
    </row>
    <row r="237" spans="17:40">
      <c r="Q237" s="99" t="s">
        <v>4737</v>
      </c>
      <c r="R237" s="95">
        <v>4369730</v>
      </c>
      <c r="T237" s="215" t="s">
        <v>4906</v>
      </c>
      <c r="U237" s="215">
        <v>8444</v>
      </c>
      <c r="V237" s="113">
        <v>266.43029999999999</v>
      </c>
      <c r="W237" s="113">
        <f t="shared" si="45"/>
        <v>2249737.4531999999</v>
      </c>
      <c r="X237" s="99" t="s">
        <v>452</v>
      </c>
      <c r="AI237" t="s">
        <v>4136</v>
      </c>
      <c r="AJ237" s="114">
        <f>AJ236-AJ232</f>
        <v>55944838.300000012</v>
      </c>
    </row>
    <row r="238" spans="17:40">
      <c r="Q238" s="99" t="s">
        <v>4741</v>
      </c>
      <c r="R238" s="95">
        <v>8739459</v>
      </c>
      <c r="T238" s="215" t="s">
        <v>4914</v>
      </c>
      <c r="U238" s="215">
        <v>-6209</v>
      </c>
      <c r="V238" s="113">
        <v>273.79649999999998</v>
      </c>
      <c r="W238" s="113">
        <f t="shared" si="45"/>
        <v>-1700002.4685</v>
      </c>
      <c r="X238" s="99" t="s">
        <v>4927</v>
      </c>
      <c r="AI238" t="s">
        <v>943</v>
      </c>
      <c r="AJ238" s="114">
        <f>AN232</f>
        <v>7543739.9422115162</v>
      </c>
    </row>
    <row r="239" spans="17:40">
      <c r="Q239" s="99" t="s">
        <v>4752</v>
      </c>
      <c r="R239" s="95">
        <v>6667654</v>
      </c>
      <c r="T239" s="215" t="s">
        <v>4914</v>
      </c>
      <c r="U239" s="215">
        <v>-8014</v>
      </c>
      <c r="V239" s="113">
        <v>273.79649999999998</v>
      </c>
      <c r="W239" s="113">
        <f t="shared" si="45"/>
        <v>-2194205.1510000001</v>
      </c>
      <c r="X239" s="99" t="s">
        <v>751</v>
      </c>
      <c r="AI239" t="s">
        <v>4065</v>
      </c>
      <c r="AJ239" s="114">
        <f>AJ237-AJ238</f>
        <v>48401098.357788496</v>
      </c>
      <c r="AN239" t="s">
        <v>25</v>
      </c>
    </row>
    <row r="240" spans="17:40">
      <c r="Q240" s="99" t="s">
        <v>4760</v>
      </c>
      <c r="R240" s="95">
        <v>8981245</v>
      </c>
      <c r="S240" t="s">
        <v>25</v>
      </c>
      <c r="T240" s="215" t="s">
        <v>4925</v>
      </c>
      <c r="U240" s="215">
        <v>-9176</v>
      </c>
      <c r="V240" s="113">
        <v>273.79649999999998</v>
      </c>
      <c r="W240" s="113">
        <f t="shared" si="45"/>
        <v>-2512356.6839999999</v>
      </c>
      <c r="X240" s="99" t="s">
        <v>452</v>
      </c>
      <c r="AN240" t="s">
        <v>25</v>
      </c>
    </row>
    <row r="241" spans="17:40">
      <c r="Q241" s="99" t="s">
        <v>4765</v>
      </c>
      <c r="R241" s="95">
        <v>9181756</v>
      </c>
      <c r="T241" s="215" t="s">
        <v>4925</v>
      </c>
      <c r="U241" s="215">
        <v>1087</v>
      </c>
      <c r="V241" s="113">
        <v>273.79649999999998</v>
      </c>
      <c r="W241" s="113">
        <f t="shared" si="45"/>
        <v>297616.79550000001</v>
      </c>
      <c r="X241" s="99" t="s">
        <v>452</v>
      </c>
    </row>
    <row r="242" spans="17:40">
      <c r="Q242" s="99" t="s">
        <v>4775</v>
      </c>
      <c r="R242" s="95">
        <v>11811208</v>
      </c>
      <c r="T242" s="215" t="s">
        <v>981</v>
      </c>
      <c r="U242" s="215">
        <v>-4017</v>
      </c>
      <c r="V242" s="113">
        <v>273.79649999999998</v>
      </c>
      <c r="W242" s="113">
        <f t="shared" si="45"/>
        <v>-1099840.5404999999</v>
      </c>
      <c r="X242" s="99" t="s">
        <v>4451</v>
      </c>
    </row>
    <row r="243" spans="17:40">
      <c r="Q243" s="99" t="s">
        <v>4793</v>
      </c>
      <c r="R243" s="95">
        <v>41248054</v>
      </c>
      <c r="T243" s="215" t="s">
        <v>981</v>
      </c>
      <c r="U243" s="215">
        <v>4017</v>
      </c>
      <c r="V243" s="113">
        <v>273.79649999999998</v>
      </c>
      <c r="W243" s="113">
        <f t="shared" si="45"/>
        <v>1099840.5404999999</v>
      </c>
      <c r="X243" s="99" t="s">
        <v>452</v>
      </c>
      <c r="AN243" t="s">
        <v>25</v>
      </c>
    </row>
    <row r="244" spans="17:40">
      <c r="Q244" s="99" t="s">
        <v>4803</v>
      </c>
      <c r="R244" s="95">
        <v>37328780</v>
      </c>
      <c r="S244" t="s">
        <v>25</v>
      </c>
      <c r="T244" s="215" t="s">
        <v>4939</v>
      </c>
      <c r="U244" s="215">
        <v>3137</v>
      </c>
      <c r="V244" s="113">
        <v>283.69110000000001</v>
      </c>
      <c r="W244" s="113">
        <f t="shared" si="45"/>
        <v>889938.98070000007</v>
      </c>
      <c r="X244" s="99" t="s">
        <v>452</v>
      </c>
      <c r="Y244" t="s">
        <v>25</v>
      </c>
    </row>
    <row r="245" spans="17:40">
      <c r="Q245" s="99" t="s">
        <v>4914</v>
      </c>
      <c r="R245" s="95">
        <v>-2194100</v>
      </c>
      <c r="S245" t="s">
        <v>25</v>
      </c>
      <c r="T245" s="215" t="s">
        <v>4955</v>
      </c>
      <c r="U245" s="215">
        <v>101933</v>
      </c>
      <c r="V245" s="113">
        <v>294.30973999999998</v>
      </c>
      <c r="W245" s="113">
        <f t="shared" si="45"/>
        <v>29999874.727419998</v>
      </c>
      <c r="X245" s="99" t="s">
        <v>1087</v>
      </c>
      <c r="Y245" t="s">
        <v>25</v>
      </c>
    </row>
    <row r="246" spans="17:40">
      <c r="Q246" s="99" t="s">
        <v>4970</v>
      </c>
      <c r="R246" s="95">
        <v>20193916</v>
      </c>
      <c r="T246" s="215" t="s">
        <v>4968</v>
      </c>
      <c r="U246" s="215">
        <v>3407</v>
      </c>
      <c r="V246" s="113">
        <v>293.43799999999999</v>
      </c>
      <c r="W246" s="113">
        <f t="shared" si="45"/>
        <v>999743.26599999995</v>
      </c>
      <c r="X246" s="99" t="s">
        <v>452</v>
      </c>
    </row>
    <row r="247" spans="17:40">
      <c r="Q247" s="99"/>
      <c r="R247" s="95"/>
      <c r="T247" s="215" t="s">
        <v>4970</v>
      </c>
      <c r="U247" s="215">
        <v>68796</v>
      </c>
      <c r="V247" s="113">
        <v>293.53250000000003</v>
      </c>
      <c r="W247" s="113">
        <f t="shared" si="45"/>
        <v>20193861.870000001</v>
      </c>
      <c r="X247" s="99" t="s">
        <v>751</v>
      </c>
    </row>
    <row r="248" spans="17:40">
      <c r="Q248" s="99"/>
      <c r="R248" s="95">
        <f>SUM(R225:R247)</f>
        <v>426236275</v>
      </c>
      <c r="T248" s="215" t="s">
        <v>4970</v>
      </c>
      <c r="U248" s="215">
        <v>154791</v>
      </c>
      <c r="V248" s="113">
        <v>293.53250000000003</v>
      </c>
      <c r="W248" s="113">
        <f t="shared" si="45"/>
        <v>45436189.207500003</v>
      </c>
      <c r="X248" s="99" t="s">
        <v>452</v>
      </c>
    </row>
    <row r="249" spans="17:40">
      <c r="Q249" s="99"/>
      <c r="R249" s="99" t="s">
        <v>6</v>
      </c>
      <c r="T249" s="215" t="s">
        <v>4970</v>
      </c>
      <c r="U249" s="215">
        <v>-11923</v>
      </c>
      <c r="V249" s="113">
        <v>293.53250000000003</v>
      </c>
      <c r="W249" s="113">
        <f t="shared" si="45"/>
        <v>-3499787.9975000005</v>
      </c>
      <c r="X249" s="99" t="s">
        <v>452</v>
      </c>
    </row>
    <row r="250" spans="17:40">
      <c r="T250" s="215" t="s">
        <v>4993</v>
      </c>
      <c r="U250" s="215">
        <v>8424</v>
      </c>
      <c r="V250" s="113">
        <v>299.15170000000001</v>
      </c>
      <c r="W250" s="113">
        <f t="shared" si="45"/>
        <v>2520053.9208</v>
      </c>
      <c r="X250" s="99" t="s">
        <v>452</v>
      </c>
    </row>
    <row r="251" spans="17:40">
      <c r="T251" s="215"/>
      <c r="U251" s="215"/>
      <c r="V251" s="113"/>
      <c r="W251" s="113"/>
      <c r="X251" s="99"/>
    </row>
    <row r="252" spans="17:40">
      <c r="Q252" s="99" t="s">
        <v>452</v>
      </c>
      <c r="R252" s="99"/>
      <c r="T252" s="215"/>
      <c r="U252" s="215"/>
      <c r="V252" s="113"/>
      <c r="W252" s="113"/>
      <c r="X252" s="99"/>
    </row>
    <row r="253" spans="17:40">
      <c r="Q253" s="99" t="s">
        <v>4444</v>
      </c>
      <c r="R253" s="95">
        <v>63115000</v>
      </c>
      <c r="T253" s="168"/>
      <c r="U253" s="168"/>
      <c r="V253" s="113"/>
      <c r="W253" s="113"/>
      <c r="X253" s="99"/>
    </row>
    <row r="254" spans="17:40">
      <c r="Q254" s="99" t="s">
        <v>4498</v>
      </c>
      <c r="R254" s="95">
        <v>13300000</v>
      </c>
      <c r="T254" s="168"/>
      <c r="U254" s="168">
        <f>SUM(U189:U253)</f>
        <v>3537210</v>
      </c>
      <c r="V254" s="99"/>
      <c r="W254" s="99"/>
      <c r="X254" s="99"/>
    </row>
    <row r="255" spans="17:40">
      <c r="Q255" s="99" t="s">
        <v>4506</v>
      </c>
      <c r="R255" s="95">
        <v>2269000</v>
      </c>
      <c r="T255" s="99"/>
      <c r="U255" s="99" t="s">
        <v>6</v>
      </c>
      <c r="V255" s="99"/>
      <c r="W255" s="99"/>
      <c r="X255" s="99"/>
    </row>
    <row r="256" spans="17:40">
      <c r="Q256" s="99" t="s">
        <v>4624</v>
      </c>
      <c r="R256" s="95">
        <v>25071612</v>
      </c>
      <c r="T256" s="201" t="s">
        <v>4488</v>
      </c>
    </row>
    <row r="257" spans="17:24">
      <c r="Q257" s="99" t="s">
        <v>4635</v>
      </c>
      <c r="R257" s="95">
        <v>42236984</v>
      </c>
      <c r="T257" s="200">
        <f>R199/U254</f>
        <v>307.7327486352238</v>
      </c>
    </row>
    <row r="258" spans="17:24">
      <c r="Q258" s="99" t="s">
        <v>4638</v>
      </c>
      <c r="R258" s="95">
        <v>19663646</v>
      </c>
      <c r="W258" s="114"/>
    </row>
    <row r="259" spans="17:24">
      <c r="Q259" s="99" t="s">
        <v>4665</v>
      </c>
      <c r="R259" s="95">
        <v>4374525</v>
      </c>
      <c r="U259" s="96" t="s">
        <v>267</v>
      </c>
      <c r="V259" t="s">
        <v>4489</v>
      </c>
      <c r="X259" t="s">
        <v>25</v>
      </c>
    </row>
    <row r="260" spans="17:24">
      <c r="Q260" s="99" t="s">
        <v>4681</v>
      </c>
      <c r="R260" s="95">
        <v>6550580</v>
      </c>
      <c r="T260" s="114"/>
      <c r="U260" s="113">
        <v>2520000</v>
      </c>
      <c r="V260">
        <f>U260/T257</f>
        <v>8188.923704662725</v>
      </c>
      <c r="X260" t="s">
        <v>25</v>
      </c>
    </row>
    <row r="261" spans="17:24">
      <c r="Q261" s="99" t="s">
        <v>4685</v>
      </c>
      <c r="R261" s="95">
        <v>7054895</v>
      </c>
      <c r="X261" t="s">
        <v>25</v>
      </c>
    </row>
    <row r="262" spans="17:24">
      <c r="Q262" s="99" t="s">
        <v>4722</v>
      </c>
      <c r="R262" s="95">
        <v>2145814</v>
      </c>
      <c r="W262" s="225"/>
      <c r="X262" s="96" t="s">
        <v>25</v>
      </c>
    </row>
    <row r="263" spans="17:24">
      <c r="Q263" s="99" t="s">
        <v>4737</v>
      </c>
      <c r="R263" s="95">
        <v>4369730</v>
      </c>
    </row>
    <row r="264" spans="17:24">
      <c r="Q264" s="99" t="s">
        <v>4741</v>
      </c>
      <c r="R264" s="95">
        <v>8739459</v>
      </c>
    </row>
    <row r="265" spans="17:24" ht="60">
      <c r="Q265" s="99" t="s">
        <v>4752</v>
      </c>
      <c r="R265" s="95">
        <v>6667654</v>
      </c>
      <c r="T265" s="22" t="s">
        <v>4472</v>
      </c>
      <c r="V265" s="225"/>
    </row>
    <row r="266" spans="17:24" ht="45">
      <c r="Q266" s="99" t="s">
        <v>3684</v>
      </c>
      <c r="R266" s="95">
        <v>8981245</v>
      </c>
      <c r="T266" s="22" t="s">
        <v>4473</v>
      </c>
    </row>
    <row r="267" spans="17:24">
      <c r="Q267" s="99" t="s">
        <v>4765</v>
      </c>
      <c r="R267" s="95">
        <v>9181756</v>
      </c>
    </row>
    <row r="268" spans="17:24">
      <c r="Q268" s="99" t="s">
        <v>4775</v>
      </c>
      <c r="R268" s="95">
        <v>11811208</v>
      </c>
    </row>
    <row r="269" spans="17:24">
      <c r="Q269" s="99" t="s">
        <v>4793</v>
      </c>
      <c r="R269" s="95">
        <v>41248054</v>
      </c>
      <c r="T269" s="99" t="s">
        <v>4490</v>
      </c>
      <c r="U269" s="99" t="s">
        <v>4461</v>
      </c>
      <c r="V269" s="99" t="s">
        <v>953</v>
      </c>
    </row>
    <row r="270" spans="17:24">
      <c r="Q270" s="99" t="s">
        <v>4803</v>
      </c>
      <c r="R270" s="95">
        <v>37328780</v>
      </c>
      <c r="T270" s="95">
        <f>R218+R248+R285</f>
        <v>883099220</v>
      </c>
      <c r="U270" s="95">
        <f>R199</f>
        <v>1088515355.8</v>
      </c>
      <c r="V270" s="95">
        <f>U270-T270</f>
        <v>205416135.79999995</v>
      </c>
    </row>
    <row r="271" spans="17:24">
      <c r="Q271" s="99" t="s">
        <v>4812</v>
      </c>
      <c r="R271" s="95">
        <v>50000000</v>
      </c>
    </row>
    <row r="272" spans="17:24">
      <c r="Q272" s="99" t="s">
        <v>4890</v>
      </c>
      <c r="R272" s="95">
        <v>68656</v>
      </c>
    </row>
    <row r="273" spans="17:20">
      <c r="Q273" s="99" t="s">
        <v>4906</v>
      </c>
      <c r="R273" s="95">
        <v>4000236</v>
      </c>
    </row>
    <row r="274" spans="17:20">
      <c r="Q274" s="99" t="s">
        <v>4906</v>
      </c>
      <c r="R274" s="95">
        <v>2250000</v>
      </c>
    </row>
    <row r="275" spans="17:20">
      <c r="Q275" s="99" t="s">
        <v>4914</v>
      </c>
      <c r="R275" s="95">
        <v>-2512200</v>
      </c>
      <c r="T275" t="s">
        <v>25</v>
      </c>
    </row>
    <row r="276" spans="17:20">
      <c r="Q276" s="99" t="s">
        <v>4925</v>
      </c>
      <c r="R276" s="95">
        <v>300000</v>
      </c>
      <c r="T276" t="s">
        <v>25</v>
      </c>
    </row>
    <row r="277" spans="17:20">
      <c r="Q277" s="99" t="s">
        <v>981</v>
      </c>
      <c r="R277" s="95">
        <v>1100000</v>
      </c>
    </row>
    <row r="278" spans="17:20">
      <c r="Q278" s="99" t="s">
        <v>4939</v>
      </c>
      <c r="R278" s="95">
        <v>890000</v>
      </c>
      <c r="T278" t="s">
        <v>25</v>
      </c>
    </row>
    <row r="279" spans="17:20">
      <c r="Q279" s="99" t="s">
        <v>4968</v>
      </c>
      <c r="R279" s="95">
        <v>1000000</v>
      </c>
      <c r="T279" t="s">
        <v>25</v>
      </c>
    </row>
    <row r="280" spans="17:20">
      <c r="Q280" s="99" t="s">
        <v>4970</v>
      </c>
      <c r="R280" s="95">
        <v>45436311</v>
      </c>
    </row>
    <row r="281" spans="17:20">
      <c r="Q281" s="99" t="s">
        <v>4970</v>
      </c>
      <c r="R281" s="95">
        <v>-3500000</v>
      </c>
    </row>
    <row r="282" spans="17:20">
      <c r="Q282" s="99" t="s">
        <v>4993</v>
      </c>
      <c r="R282" s="95">
        <v>2520000</v>
      </c>
      <c r="T282" t="s">
        <v>25</v>
      </c>
    </row>
    <row r="283" spans="17:20">
      <c r="Q283" s="99"/>
      <c r="R283" s="95"/>
      <c r="T283" t="s">
        <v>25</v>
      </c>
    </row>
    <row r="284" spans="17:20">
      <c r="Q284" s="99"/>
      <c r="R284" s="95"/>
    </row>
    <row r="285" spans="17:20">
      <c r="Q285" s="99"/>
      <c r="R285" s="95">
        <f>SUM(R253:R284)</f>
        <v>415662945</v>
      </c>
      <c r="T285" t="s">
        <v>25</v>
      </c>
    </row>
    <row r="286" spans="17:20">
      <c r="Q286" s="99"/>
      <c r="R286" s="99" t="s">
        <v>6</v>
      </c>
      <c r="T286" t="s">
        <v>25</v>
      </c>
    </row>
    <row r="290" spans="20:20">
      <c r="T290" t="s">
        <v>25</v>
      </c>
    </row>
    <row r="291" spans="20:20">
      <c r="T291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3 S130 S101 S43 S46 S4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A85" zoomScale="90" zoomScaleNormal="90" workbookViewId="0">
      <selection activeCell="M98" sqref="M98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4968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4968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4968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4925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4968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4970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4984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B61-B28+L19</f>
        <v>5161628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4913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4912</v>
      </c>
      <c r="J82" s="86">
        <f t="shared" si="12"/>
        <v>8860702</v>
      </c>
      <c r="K82" s="192" t="s">
        <v>4906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4923</v>
      </c>
      <c r="J83" s="86">
        <f>L83-L82+31412200</f>
        <v>20439704</v>
      </c>
      <c r="K83" s="192" t="s">
        <v>4914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4924</v>
      </c>
      <c r="J84" s="189">
        <f t="shared" si="12"/>
        <v>21224293</v>
      </c>
      <c r="K84" s="190" t="s">
        <v>4925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4938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4952</v>
      </c>
      <c r="J87" s="197">
        <f>L87-L86-20000</f>
        <v>7878257</v>
      </c>
      <c r="K87" s="191" t="s">
        <v>4939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4954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4955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4999</v>
      </c>
      <c r="J90" s="197">
        <f>L90-L89-1000000</f>
        <v>3840350</v>
      </c>
      <c r="K90" s="191" t="s">
        <v>4968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4970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4984</v>
      </c>
      <c r="L92" s="84">
        <v>685113138</v>
      </c>
      <c r="M92" s="84">
        <v>311743933</v>
      </c>
      <c r="N92" s="113">
        <f t="shared" ref="N92:N111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4989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4990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4998</v>
      </c>
      <c r="J95" s="197">
        <f>L95-L94-2520000</f>
        <v>-274657</v>
      </c>
      <c r="K95" s="191" t="s">
        <v>4993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5000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5005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/>
      <c r="K98" s="215"/>
      <c r="L98" s="84"/>
      <c r="M98" s="84"/>
      <c r="N98" s="113"/>
      <c r="O98" s="113"/>
      <c r="P98" s="113"/>
    </row>
    <row r="99" spans="9:17">
      <c r="I99" s="215"/>
      <c r="J99" s="113"/>
      <c r="K99" s="215"/>
      <c r="L99" s="84"/>
      <c r="M99" s="84"/>
      <c r="N99" s="113"/>
      <c r="O99" s="113"/>
      <c r="P99" s="113"/>
    </row>
    <row r="100" spans="9:17">
      <c r="I100" s="215"/>
      <c r="J100" s="113"/>
      <c r="K100" s="215"/>
      <c r="L100" s="84"/>
      <c r="M100" s="84"/>
      <c r="N100" s="113"/>
      <c r="O100" s="113"/>
      <c r="P100" s="113"/>
    </row>
    <row r="101" spans="9:17">
      <c r="I101" s="215"/>
      <c r="J101" s="113"/>
      <c r="K101" s="215"/>
      <c r="L101" s="84"/>
      <c r="M101" s="84"/>
      <c r="N101" s="113"/>
      <c r="O101" s="113"/>
      <c r="P101" s="113"/>
    </row>
    <row r="102" spans="9:17">
      <c r="I102" s="215"/>
      <c r="J102" s="113"/>
      <c r="K102" s="215"/>
      <c r="L102" s="84"/>
      <c r="M102" s="84"/>
      <c r="N102" s="113"/>
      <c r="O102" s="113"/>
      <c r="P102" s="113"/>
    </row>
    <row r="103" spans="9:17">
      <c r="I103" s="215"/>
      <c r="J103" s="113"/>
      <c r="K103" s="215"/>
      <c r="L103" s="84"/>
      <c r="M103" s="84"/>
      <c r="N103" s="113"/>
      <c r="O103" s="113"/>
      <c r="P103" s="113"/>
    </row>
    <row r="104" spans="9:17">
      <c r="I104" s="215"/>
      <c r="J104" s="113"/>
      <c r="K104" s="215"/>
      <c r="L104" s="84"/>
      <c r="M104" s="84"/>
      <c r="N104" s="113"/>
      <c r="O104" s="113"/>
      <c r="P104" s="113"/>
    </row>
    <row r="105" spans="9:17">
      <c r="I105" s="215"/>
      <c r="J105" s="113"/>
      <c r="K105" s="215"/>
      <c r="L105" s="84"/>
      <c r="M105" s="84"/>
      <c r="N105" s="113"/>
      <c r="O105" s="113"/>
      <c r="P105" s="113"/>
    </row>
    <row r="106" spans="9:17">
      <c r="I106" s="215"/>
      <c r="J106" s="113"/>
      <c r="K106" s="215"/>
      <c r="L106" s="84"/>
      <c r="M106" s="84"/>
      <c r="N106" s="113"/>
      <c r="O106" s="113"/>
      <c r="P106" s="113"/>
    </row>
    <row r="107" spans="9:17">
      <c r="I107" s="215"/>
      <c r="J107" s="113"/>
      <c r="K107" s="215"/>
      <c r="L107" s="84"/>
      <c r="M107" s="84"/>
      <c r="N107" s="113"/>
      <c r="O107" s="113"/>
      <c r="P107" s="113"/>
    </row>
    <row r="108" spans="9:17">
      <c r="I108" s="215"/>
      <c r="J108" s="113"/>
      <c r="K108" s="215"/>
      <c r="L108" s="84"/>
      <c r="M108" s="84"/>
      <c r="N108" s="113"/>
      <c r="O108" s="113"/>
      <c r="P108" s="113"/>
    </row>
    <row r="109" spans="9:17">
      <c r="I109" s="215"/>
      <c r="J109" s="113"/>
      <c r="K109" s="215"/>
      <c r="L109" s="84"/>
      <c r="M109" s="84"/>
      <c r="N109" s="113"/>
      <c r="O109" s="113"/>
      <c r="P109" s="113"/>
    </row>
    <row r="110" spans="9:17">
      <c r="I110" s="215"/>
      <c r="J110" s="113"/>
      <c r="K110" s="215"/>
      <c r="L110" s="84"/>
      <c r="M110" s="84"/>
      <c r="N110" s="113"/>
      <c r="O110" s="113"/>
      <c r="P110" s="113"/>
    </row>
    <row r="111" spans="9:17">
      <c r="I111" s="215"/>
      <c r="J111" s="113">
        <f>L111-L97</f>
        <v>-709244639</v>
      </c>
      <c r="K111" s="215"/>
      <c r="L111" s="84"/>
      <c r="M111" s="84"/>
      <c r="N111" s="113">
        <f t="shared" si="19"/>
        <v>0</v>
      </c>
      <c r="O111" s="113">
        <f>M111-M97</f>
        <v>-318439707</v>
      </c>
      <c r="P111" s="113">
        <f>N111-N97</f>
        <v>-1027684346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4914</v>
      </c>
      <c r="B45" s="113">
        <v>2060725</v>
      </c>
      <c r="C45" s="99" t="s">
        <v>4919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4950</v>
      </c>
      <c r="B46" s="113">
        <v>-1073169</v>
      </c>
      <c r="C46" s="99" t="s">
        <v>4951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4939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4939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4955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4962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4963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4970</v>
      </c>
      <c r="B52" s="113">
        <v>-195330</v>
      </c>
      <c r="C52" s="99" t="s">
        <v>4977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4984</v>
      </c>
      <c r="B53" s="113">
        <v>-140730</v>
      </c>
      <c r="C53" s="99" t="s">
        <v>4991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4989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4989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4993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4899</v>
      </c>
      <c r="B20" s="18">
        <v>400000</v>
      </c>
      <c r="C20" s="18">
        <v>0</v>
      </c>
      <c r="D20" s="113">
        <f t="shared" si="0"/>
        <v>400000</v>
      </c>
      <c r="E20" s="19" t="s">
        <v>4901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4914</v>
      </c>
      <c r="B28" s="18">
        <v>433375</v>
      </c>
      <c r="C28" s="18">
        <v>0</v>
      </c>
      <c r="D28" s="113">
        <f t="shared" si="0"/>
        <v>433375</v>
      </c>
      <c r="E28" s="19" t="s">
        <v>4919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4925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4925</v>
      </c>
      <c r="B30" s="18">
        <v>-300000</v>
      </c>
      <c r="C30" s="18">
        <v>0</v>
      </c>
      <c r="D30" s="113">
        <f t="shared" si="0"/>
        <v>-300000</v>
      </c>
      <c r="E30" s="19" t="s">
        <v>4928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4925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4936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4902</v>
      </c>
      <c r="G70" t="s">
        <v>25</v>
      </c>
    </row>
    <row r="71" spans="1:22">
      <c r="D71" s="18">
        <v>463200</v>
      </c>
      <c r="E71" s="122" t="s">
        <v>4904</v>
      </c>
    </row>
    <row r="72" spans="1:22">
      <c r="D72" s="18">
        <v>2000000</v>
      </c>
      <c r="E72" s="96" t="s">
        <v>4907</v>
      </c>
    </row>
    <row r="73" spans="1:22">
      <c r="D73" s="18">
        <v>-280000</v>
      </c>
      <c r="E73" t="s">
        <v>4911</v>
      </c>
    </row>
    <row r="74" spans="1:22">
      <c r="D74" s="18">
        <v>-200000</v>
      </c>
      <c r="E74" s="96" t="s">
        <v>4920</v>
      </c>
    </row>
    <row r="75" spans="1:22">
      <c r="D75" s="18">
        <v>-2000000</v>
      </c>
      <c r="E75" s="96" t="s">
        <v>4926</v>
      </c>
    </row>
    <row r="76" spans="1:22">
      <c r="D76" s="18">
        <v>92800</v>
      </c>
      <c r="E76" s="96" t="s">
        <v>4932</v>
      </c>
    </row>
    <row r="77" spans="1:22">
      <c r="D77" s="18">
        <v>1417727</v>
      </c>
      <c r="E77" s="96" t="s">
        <v>4936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9" t="s">
        <v>1089</v>
      </c>
      <c r="R21" s="249"/>
      <c r="S21" s="249"/>
      <c r="T21" s="249"/>
      <c r="U21" s="96"/>
      <c r="V21" s="96"/>
      <c r="W21" s="96"/>
      <c r="X21" s="96"/>
      <c r="Y21" s="96"/>
      <c r="Z21" s="96"/>
    </row>
    <row r="22" spans="5:35">
      <c r="O22" s="99"/>
      <c r="P22" s="99"/>
      <c r="Q22" s="249"/>
      <c r="R22" s="249"/>
      <c r="S22" s="249"/>
      <c r="T22" s="249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0" t="s">
        <v>1090</v>
      </c>
      <c r="R23" s="251" t="s">
        <v>1091</v>
      </c>
      <c r="S23" s="250" t="s">
        <v>1092</v>
      </c>
      <c r="T23" s="252" t="s">
        <v>1093</v>
      </c>
      <c r="AD23" t="s">
        <v>25</v>
      </c>
    </row>
    <row r="24" spans="5:35">
      <c r="O24" s="99"/>
      <c r="P24" s="99"/>
      <c r="Q24" s="250"/>
      <c r="R24" s="251"/>
      <c r="S24" s="250"/>
      <c r="T24" s="252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abSelected="1" topLeftCell="A10" workbookViewId="0">
      <selection activeCell="D34" sqref="D34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4899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4925</v>
      </c>
      <c r="B25" s="95">
        <v>0</v>
      </c>
      <c r="C25" s="95">
        <v>1000</v>
      </c>
      <c r="D25" s="99" t="s">
        <v>315</v>
      </c>
    </row>
    <row r="26" spans="1:9">
      <c r="A26" s="99" t="s">
        <v>4968</v>
      </c>
      <c r="B26" s="95">
        <v>0</v>
      </c>
      <c r="C26" s="95">
        <v>12000</v>
      </c>
      <c r="D26" s="99" t="s">
        <v>4983</v>
      </c>
    </row>
    <row r="27" spans="1:9">
      <c r="A27" s="99" t="s">
        <v>4970</v>
      </c>
      <c r="B27" s="95">
        <v>0</v>
      </c>
      <c r="C27" s="95">
        <v>1000</v>
      </c>
      <c r="D27" s="99" t="s">
        <v>315</v>
      </c>
    </row>
    <row r="28" spans="1:9">
      <c r="A28" s="99" t="s">
        <v>4984</v>
      </c>
      <c r="B28" s="95">
        <v>0</v>
      </c>
      <c r="C28" s="95">
        <v>1000</v>
      </c>
      <c r="D28" s="99" t="s">
        <v>315</v>
      </c>
    </row>
    <row r="29" spans="1:9">
      <c r="A29" s="99" t="s">
        <v>4989</v>
      </c>
      <c r="B29" s="95">
        <v>0</v>
      </c>
      <c r="C29" s="95">
        <v>1000</v>
      </c>
      <c r="D29" s="99" t="s">
        <v>315</v>
      </c>
    </row>
    <row r="30" spans="1:9">
      <c r="A30" s="99" t="s">
        <v>4990</v>
      </c>
      <c r="B30" s="95">
        <v>0</v>
      </c>
      <c r="C30" s="95">
        <v>5500</v>
      </c>
      <c r="D30" s="99" t="s">
        <v>4763</v>
      </c>
    </row>
    <row r="31" spans="1:9">
      <c r="A31" s="99" t="s">
        <v>4990</v>
      </c>
      <c r="B31" s="95">
        <v>11000</v>
      </c>
      <c r="C31" s="95">
        <v>0</v>
      </c>
      <c r="D31" s="99" t="s">
        <v>4762</v>
      </c>
    </row>
    <row r="32" spans="1:9">
      <c r="A32" s="99" t="s">
        <v>5000</v>
      </c>
      <c r="B32" s="95">
        <v>0</v>
      </c>
      <c r="C32" s="95">
        <v>1000</v>
      </c>
      <c r="D32" s="99" t="s">
        <v>315</v>
      </c>
    </row>
    <row r="33" spans="1:4">
      <c r="A33" s="99" t="s">
        <v>5005</v>
      </c>
      <c r="B33" s="95">
        <v>0</v>
      </c>
      <c r="C33" s="95">
        <v>1000</v>
      </c>
      <c r="D33" s="99" t="s">
        <v>315</v>
      </c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60500</v>
      </c>
      <c r="C37" s="95">
        <f>SUM(C2:C36)</f>
        <v>48500</v>
      </c>
      <c r="D37" s="99"/>
    </row>
    <row r="39" spans="1:4">
      <c r="A39" s="23" t="s">
        <v>4793</v>
      </c>
      <c r="B39" s="226">
        <v>6700</v>
      </c>
      <c r="C39" s="226">
        <v>0</v>
      </c>
      <c r="D39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2019-04-15T10:40:25Z</dcterms:modified>
</cp:coreProperties>
</file>