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2" activeTab="7"/>
  </bookViews>
  <sheets>
    <sheet name="AgentBased" sheetId="44" r:id="rId1"/>
    <sheet name="سرمایه گذاری ها" sheetId="59" r:id="rId2"/>
    <sheet name="فروردین 98" sheetId="58" r:id="rId3"/>
    <sheet name="سارا" sheetId="20" r:id="rId4"/>
    <sheet name="مسکن علی سید الشهدا" sheetId="16" r:id="rId5"/>
    <sheet name="مسکن ایلیا" sheetId="15" r:id="rId6"/>
    <sheet name="مسکن مریم یاران" sheetId="13" r:id="rId7"/>
    <sheet name="برنامه 5 ساله" sheetId="18" r:id="rId8"/>
    <sheet name="خرید و فروش سکه فیزیکی" sheetId="52" r:id="rId9"/>
    <sheet name="strategy" sheetId="49" r:id="rId10"/>
    <sheet name="مسکن مریم سید الشهدا" sheetId="14" r:id="rId11"/>
    <sheet name="بدهی خانه" sheetId="10" r:id="rId12"/>
    <sheet name="اردیبهشت95" sheetId="5" r:id="rId13"/>
    <sheet name="خرداد 95" sheetId="4" r:id="rId14"/>
    <sheet name="تیرماه95" sheetId="2" r:id="rId15"/>
    <sheet name="مرداد 95" sheetId="3" r:id="rId16"/>
    <sheet name="شهریور 95" sheetId="6" r:id="rId17"/>
    <sheet name="مهر 95" sheetId="7" r:id="rId18"/>
    <sheet name="آبان 95" sheetId="8" r:id="rId19"/>
    <sheet name="آذر 95" sheetId="9" r:id="rId20"/>
    <sheet name="دی 95" sheetId="11" r:id="rId21"/>
    <sheet name="بهمن 95" sheetId="12" r:id="rId22"/>
    <sheet name="اسفند 95" sheetId="17" r:id="rId23"/>
    <sheet name="فروردین 96" sheetId="19" r:id="rId24"/>
    <sheet name="اردیبهشت 96" sheetId="21" r:id="rId25"/>
    <sheet name="خرداد 96" sheetId="22" r:id="rId26"/>
    <sheet name="تیر 96" sheetId="23" r:id="rId27"/>
    <sheet name="مرداد 96" sheetId="24" r:id="rId28"/>
    <sheet name="شهریور 96" sheetId="25" r:id="rId29"/>
    <sheet name="مهر96" sheetId="26" r:id="rId30"/>
    <sheet name="آبان 96" sheetId="27" r:id="rId31"/>
    <sheet name="آذر 96" sheetId="28" r:id="rId32"/>
    <sheet name="دی 96" sheetId="29" r:id="rId33"/>
    <sheet name="بهمن 96" sheetId="30" r:id="rId34"/>
    <sheet name="اسفند 96" sheetId="31" r:id="rId35"/>
    <sheet name="فروردین 97" sheetId="34" r:id="rId36"/>
    <sheet name="اردیبهشت 97" sheetId="38" r:id="rId37"/>
    <sheet name="خرداد 97" sheetId="42" r:id="rId38"/>
    <sheet name="تیر97" sheetId="43" r:id="rId39"/>
    <sheet name="مرداد97" sheetId="45" r:id="rId40"/>
    <sheet name="شهریور97" sheetId="46" r:id="rId41"/>
    <sheet name="مهر97" sheetId="48" r:id="rId42"/>
    <sheet name="آبان97" sheetId="50" r:id="rId43"/>
    <sheet name="آذر 97" sheetId="51" r:id="rId44"/>
    <sheet name="دی 97" sheetId="54" r:id="rId45"/>
    <sheet name="بهمن 97" sheetId="55" r:id="rId46"/>
    <sheet name="اسفند97" sheetId="57" r:id="rId47"/>
    <sheet name="لیست خرید و فروش" sheetId="32" r:id="rId48"/>
    <sheet name="اوراق بدون ریسک" sheetId="33" r:id="rId49"/>
    <sheet name="نکات" sheetId="35" r:id="rId50"/>
    <sheet name="سکه" sheetId="36" r:id="rId51"/>
    <sheet name="apply" sheetId="37" r:id="rId52"/>
    <sheet name="بیمه" sheetId="39" r:id="rId53"/>
    <sheet name="آرشیو قیمت ارجینال" sheetId="40" r:id="rId54"/>
    <sheet name="تحلیل1" sheetId="41" r:id="rId55"/>
    <sheet name="Sheet1" sheetId="53" r:id="rId56"/>
    <sheet name="صبحانه" sheetId="56" r:id="rId57"/>
  </sheets>
  <calcPr calcId="144525"/>
</workbook>
</file>

<file path=xl/calcChain.xml><?xml version="1.0" encoding="utf-8"?>
<calcChain xmlns="http://schemas.openxmlformats.org/spreadsheetml/2006/main">
  <c r="P175" i="18" l="1"/>
  <c r="W251" i="18"/>
  <c r="D3" i="59" l="1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G139" i="18" l="1"/>
  <c r="D68" i="52" l="1"/>
  <c r="N98" i="52" l="1"/>
  <c r="O98" i="52"/>
  <c r="P98" i="52"/>
  <c r="N99" i="52"/>
  <c r="P99" i="52" s="1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P105" i="52" s="1"/>
  <c r="O105" i="52"/>
  <c r="N106" i="52"/>
  <c r="O106" i="52"/>
  <c r="P106" i="52"/>
  <c r="N107" i="52"/>
  <c r="O107" i="52"/>
  <c r="P107" i="52"/>
  <c r="N108" i="52"/>
  <c r="P108" i="52" s="1"/>
  <c r="O108" i="52"/>
  <c r="N109" i="52"/>
  <c r="P109" i="52" s="1"/>
  <c r="O109" i="52"/>
  <c r="N110" i="52"/>
  <c r="O110" i="52"/>
  <c r="P110" i="52"/>
  <c r="N111" i="52"/>
  <c r="O111" i="52"/>
  <c r="P111" i="52"/>
  <c r="J100" i="52"/>
  <c r="J101" i="52"/>
  <c r="J102" i="52"/>
  <c r="J103" i="52"/>
  <c r="J104" i="52"/>
  <c r="J105" i="52"/>
  <c r="J106" i="52"/>
  <c r="J107" i="52"/>
  <c r="J108" i="52"/>
  <c r="J109" i="52"/>
  <c r="J110" i="52"/>
  <c r="J111" i="52"/>
  <c r="J112" i="52"/>
  <c r="J97" i="52"/>
  <c r="J98" i="52"/>
  <c r="J99" i="52"/>
  <c r="P104" i="52" l="1"/>
  <c r="P103" i="52"/>
  <c r="P102" i="52"/>
  <c r="P101" i="52"/>
  <c r="P100" i="52"/>
  <c r="S163" i="18"/>
  <c r="S154" i="18"/>
  <c r="S152" i="18"/>
  <c r="R285" i="18" l="1"/>
  <c r="J90" i="52"/>
  <c r="J95" i="52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F51" i="14" l="1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P95" i="52" s="1"/>
  <c r="O95" i="52"/>
  <c r="N96" i="52"/>
  <c r="O96" i="52"/>
  <c r="N97" i="52"/>
  <c r="P97" i="52" s="1"/>
  <c r="O97" i="52"/>
  <c r="J92" i="52"/>
  <c r="J93" i="52"/>
  <c r="J94" i="52"/>
  <c r="J96" i="52"/>
  <c r="O145" i="18"/>
  <c r="O144" i="18"/>
  <c r="O143" i="18"/>
  <c r="P96" i="52" l="1"/>
  <c r="P94" i="52"/>
  <c r="P93" i="52"/>
  <c r="O147" i="18"/>
  <c r="N91" i="52"/>
  <c r="P92" i="52" s="1"/>
  <c r="R248" i="18" l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40" i="18" l="1"/>
  <c r="J140" i="18" s="1"/>
  <c r="J139" i="18"/>
  <c r="G138" i="18"/>
  <c r="J138" i="18" s="1"/>
  <c r="G137" i="18"/>
  <c r="J137" i="18" s="1"/>
  <c r="J141" i="18" l="1"/>
  <c r="R218" i="18"/>
  <c r="T270" i="18" s="1"/>
  <c r="W245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U254" i="18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32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1" i="52" l="1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31" i="18"/>
  <c r="P25" i="18"/>
  <c r="N25" i="18" s="1"/>
  <c r="N22" i="18"/>
  <c r="P30" i="18"/>
  <c r="N30" i="18" s="1"/>
  <c r="AM231" i="18" l="1"/>
  <c r="AL230" i="18"/>
  <c r="W224" i="18"/>
  <c r="W223" i="18"/>
  <c r="N30" i="52"/>
  <c r="N29" i="52"/>
  <c r="AD27" i="52"/>
  <c r="Z27" i="52"/>
  <c r="AE27" i="52"/>
  <c r="AL229" i="18" l="1"/>
  <c r="AM230" i="18"/>
  <c r="W222" i="18"/>
  <c r="W221" i="18"/>
  <c r="N28" i="52"/>
  <c r="N27" i="52"/>
  <c r="AL228" i="18" l="1"/>
  <c r="AM229" i="18"/>
  <c r="AD26" i="52"/>
  <c r="AE26" i="52"/>
  <c r="N40" i="18"/>
  <c r="AM228" i="18" l="1"/>
  <c r="AL227" i="18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0" i="18"/>
  <c r="W219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3" i="18" s="1"/>
  <c r="N57" i="18"/>
  <c r="K345" i="20" l="1"/>
  <c r="G344" i="20"/>
  <c r="J345" i="20"/>
  <c r="I345" i="20"/>
  <c r="N113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9" i="18"/>
  <c r="AM120" i="18" l="1"/>
  <c r="AL119" i="18"/>
  <c r="AM119" i="18" l="1"/>
  <c r="AL118" i="18"/>
  <c r="T173" i="18"/>
  <c r="S60" i="18"/>
  <c r="S61" i="18" s="1"/>
  <c r="S62" i="18" s="1"/>
  <c r="R194" i="18"/>
  <c r="R192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36" i="18"/>
  <c r="AJ237" i="18" s="1"/>
  <c r="R190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32" i="18"/>
  <c r="AN232" i="18" s="1"/>
  <c r="AJ235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38" i="18" l="1"/>
  <c r="AJ239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5" i="18" s="1"/>
  <c r="M109" i="18" l="1"/>
  <c r="N109" i="18" s="1"/>
  <c r="N120" i="18" s="1"/>
  <c r="AJ171" i="18"/>
  <c r="AJ172" i="18" s="1"/>
  <c r="R189" i="18"/>
  <c r="R199" i="18" s="1"/>
  <c r="T257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0" i="18" l="1"/>
  <c r="S178" i="18"/>
  <c r="U270" i="18"/>
  <c r="G304" i="20"/>
  <c r="I305" i="20"/>
  <c r="K305" i="20"/>
  <c r="J305" i="20"/>
  <c r="S129" i="18"/>
  <c r="AL73" i="18"/>
  <c r="AM74" i="18"/>
  <c r="N90" i="18"/>
  <c r="V163" i="18" s="1"/>
  <c r="W163" i="18" l="1"/>
  <c r="X163" i="18"/>
  <c r="V53" i="18"/>
  <c r="W53" i="18" s="1"/>
  <c r="V78" i="18"/>
  <c r="V52" i="18"/>
  <c r="X52" i="18" s="1"/>
  <c r="V77" i="18"/>
  <c r="V73" i="18"/>
  <c r="V76" i="18"/>
  <c r="V74" i="18"/>
  <c r="V75" i="18"/>
  <c r="U178" i="18"/>
  <c r="V178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0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4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7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4" i="18"/>
  <c r="X164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6" i="18"/>
  <c r="S175" i="18"/>
  <c r="U175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7" i="18" l="1"/>
  <c r="V177" i="18" s="1"/>
  <c r="N36" i="18"/>
  <c r="L21" i="18" s="1"/>
  <c r="U176" i="18"/>
  <c r="V176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V162" i="18" s="1"/>
  <c r="X160" i="18"/>
  <c r="G29" i="14"/>
  <c r="E28" i="14"/>
  <c r="K265" i="20"/>
  <c r="G264" i="20"/>
  <c r="J265" i="20"/>
  <c r="I265" i="20"/>
  <c r="D259" i="15"/>
  <c r="AL33" i="18"/>
  <c r="AM34" i="18"/>
  <c r="X161" i="18" l="1"/>
  <c r="X162" i="18"/>
  <c r="W162" i="18"/>
  <c r="E27" i="14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<sst xmlns="http://schemas.openxmlformats.org/spreadsheetml/2006/main" count="11707" uniqueCount="5036">
  <si>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</si>
  <si>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</si>
  <si>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</si>
  <si>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</si>
  <si>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</si>
  <si>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</si>
  <si>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</si>
  <si>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</si>
  <si>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</si>
  <si>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</si>
  <si>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</si>
  <si>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</si>
  <si>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</si>
  <si>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</si>
  <si>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</si>
  <si>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</si>
  <si>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</si>
  <si>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</si>
  <si>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</si>
  <si>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</si>
  <si>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</si>
  <si>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</si>
  <si>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</si>
  <si>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</si>
  <si>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</si>
  <si>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</si>
  <si>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</si>
  <si>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</si>
  <si>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</si>
  <si>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</si>
  <si>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</si>
  <si>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</si>
  <si>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</si>
  <si>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</si>
  <si>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</si>
  <si>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</si>
  <si>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</si>
  <si>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</si>
  <si>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</si>
  <si>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</si>
  <si>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</si>
  <si>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</si>
  <si>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</si>
  <si>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</si>
  <si>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</si>
  <si>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</si>
  <si>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</si>
  <si>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</si>
  <si>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</si>
  <si>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</si>
  <si>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</si>
  <si>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</si>
  <si>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</si>
  <si>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</si>
  <si>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</si>
  <si>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</si>
  <si>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</si>
  <si>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</si>
  <si>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</si>
  <si>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</si>
  <si>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</si>
  <si>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</si>
  <si>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</si>
  <si>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</si>
  <si>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</si>
  <si>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</si>
  <si>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</si>
  <si>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</si>
  <si>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</si>
  <si>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</si>
  <si>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</si>
  <si>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</si>
  <si>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</si>
  <si>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</si>
  <si>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</si>
  <si>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</si>
  <si>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</si>
  <si>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</si>
  <si>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</si>
  <si>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</si>
  <si>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</si>
  <si>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</si>
  <si>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</si>
  <si>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</si>
  <si>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</si>
  <si>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</si>
  <si>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</si>
  <si>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</si>
  <si>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</si>
  <si>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</si>
  <si>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</si>
  <si>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</si>
  <si>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</si>
  <si>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</si>
  <si>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</si>
  <si>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</si>
  <si>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</si>
  <si>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</si>
  <si>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</si>
  <si>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</si>
  <si>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</si>
  <si>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</si>
  <si>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</si>
  <si>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</si>
  <si>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</si>
  <si>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</si>
  <si>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</si>
  <si>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</si>
  <si>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</si>
  <si>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</si>
  <si>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</si>
  <si>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</si>
  <si>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</si>
  <si>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</si>
  <si>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</si>
  <si>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</si>
  <si>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</si>
  <si>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</si>
  <si>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</si>
  <si>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</si>
  <si>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</si>
  <si>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</si>
  <si>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</si>
  <si>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</si>
  <si>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</si>
  <si>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</si>
  <si>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</si>
  <si>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</si>
  <si>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</si>
  <si>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</si>
  <si>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</si>
  <si>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</si>
  <si>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</si>
  <si>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</si>
  <si>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</si>
  <si>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</si>
  <si>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</si>
  <si>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</si>
  <si>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</si>
  <si>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</si>
  <si>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</si>
  <si>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</si>
  <si>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</si>
  <si>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</si>
  <si>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</si>
  <si>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</si>
  <si>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</si>
  <si>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</si>
  <si>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</si>
  <si>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</si>
  <si>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</si>
  <si>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</si>
  <si>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</si>
  <si>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</si>
  <si>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</si>
  <si>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</si>
  <si>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</si>
  <si>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</si>
  <si>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</si>
  <si>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</si>
  <si>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</si>
  <si>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</si>
  <si>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</si>
  <si>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</si>
  <si>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</si>
  <si>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</si>
  <si>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</si>
  <si>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</si>
  <si>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</si>
  <si>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</si>
  <si>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</si>
  <si>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</si>
  <si>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</si>
  <si>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</si>
  <si>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</si>
  <si>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</si>
  <si>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</si>
  <si>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</si>
  <si>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</si>
  <si>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</si>
  <si>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</si>
  <si>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</si>
  <si>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</si>
  <si>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</si>
  <si>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</si>
  <si>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</si>
  <si>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</si>
  <si>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</si>
  <si>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</si>
  <si>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</si>
  <si>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</si>
  <si>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</si>
  <si>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</si>
  <si>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</si>
  <si>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</si>
  <si>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</si>
  <si>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</si>
  <si>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</si>
  <si>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</si>
  <si>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</si>
  <si>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</si>
  <si>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</si>
  <si>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</si>
  <si>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</si>
  <si>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</si>
  <si>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</si>
  <si>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</si>
  <si>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</si>
  <si>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</si>
  <si>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</si>
  <si>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</si>
  <si>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</si>
  <si>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</si>
  <si>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</si>
  <si>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</si>
  <si>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</si>
  <si>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</si>
  <si>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</si>
  <si>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</si>
  <si>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</si>
  <si>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</si>
  <si>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</si>
  <si>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</si>
  <si>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</si>
  <si>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</si>
  <si>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</si>
  <si>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</si>
  <si>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</si>
  <si>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</si>
  <si>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</si>
  <si>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</si>
  <si>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</si>
  <si>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</si>
  <si>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</si>
  <si>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</si>
  <si>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</si>
  <si>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</si>
  <si>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</si>
  <si>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</si>
  <si>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</si>
  <si>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</si>
  <si>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</si>
  <si>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</si>
  <si>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</si>
  <si>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</si>
  <si>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</si>
  <si>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</si>
  <si>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</si>
  <si>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</si>
  <si>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</si>
  <si>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</si>
  <si>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</si>
  <si>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</si>
  <si>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</si>
  <si>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</si>
  <si>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</si>
  <si>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</si>
  <si>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</si>
  <si>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</si>
  <si>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</si>
  <si>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</si>
  <si>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</si>
  <si>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</si>
  <si>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</si>
  <si>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</si>
  <si>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</si>
  <si>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</si>
  <si>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</si>
  <si>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</si>
  <si>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</si>
  <si>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</si>
  <si>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</si>
  <si>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</si>
  <si>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</si>
  <si>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</si>
  <si>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</si>
  <si>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</si>
  <si>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</si>
  <si>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</si>
  <si>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</si>
  <si>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</si>
  <si>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</si>
  <si>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</si>
  <si>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</si>
  <si>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</si>
  <si>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</si>
  <si>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</si>
  <si>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</si>
  <si>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</si>
  <si>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</si>
  <si>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</si>
  <si>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</si>
  <si>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</si>
  <si>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</si>
  <si>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</si>
  <si>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</si>
  <si>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</si>
  <si>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</si>
  <si>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</si>
  <si>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</si>
  <si>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</si>
  <si>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</si>
  <si>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</si>
  <si>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</si>
  <si>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</si>
  <si>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</si>
  <si>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</si>
  <si>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</si>
  <si>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</si>
  <si>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</si>
  <si>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</si>
  <si>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</si>
  <si>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</si>
  <si>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</si>
  <si>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</si>
  <si>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</si>
  <si>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</si>
  <si>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</si>
  <si>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</si>
  <si>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</si>
  <si>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</si>
  <si>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</si>
  <si>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</si>
  <si>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</si>
  <si>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</si>
  <si>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</si>
  <si>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</si>
  <si>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</si>
  <si>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</si>
  <si>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</si>
  <si>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</si>
  <si>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</si>
  <si>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</si>
  <si>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</si>
  <si>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</si>
  <si>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</si>
  <si>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</si>
  <si>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</si>
  <si>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</si>
  <si>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</si>
  <si>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</si>
  <si>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</si>
  <si>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</si>
  <si>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</si>
  <si>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</si>
  <si>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</si>
  <si>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</si>
  <si>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</si>
  <si>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</si>
  <si>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</si>
  <si>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</si>
  <si>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</si>
  <si>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</si>
  <si>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</si>
  <si>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</si>
  <si>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</si>
  <si>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</si>
  <si>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</si>
  <si>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</si>
  <si>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</si>
  <si>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</si>
  <si>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</si>
  <si>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</si>
  <si>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</si>
  <si>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</si>
  <si>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</si>
  <si>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</si>
  <si>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</si>
  <si>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</si>
  <si>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</si>
  <si>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</si>
  <si>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</si>
  <si>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</si>
  <si>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</si>
  <si>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</si>
  <si>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</si>
  <si>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</si>
  <si>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</si>
  <si>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</si>
  <si>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</si>
  <si>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</si>
  <si>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</si>
  <si>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</si>
  <si>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</si>
  <si>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</si>
  <si>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</si>
  <si>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</si>
  <si>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</si>
  <si>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</si>
  <si>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</si>
  <si>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</si>
  <si>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</si>
  <si>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</si>
  <si>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</si>
  <si>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</si>
  <si>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</si>
  <si>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</si>
  <si>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</si>
  <si>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</si>
  <si>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</si>
  <si>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</si>
  <si>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</si>
  <si>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</si>
  <si>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</si>
  <si>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</si>
  <si>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</si>
  <si>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</si>
  <si>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</si>
  <si>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</si>
  <si>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</si>
  <si>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</si>
  <si>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</si>
  <si>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</si>
  <si>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</si>
  <si>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</si>
  <si>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</si>
  <si>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</si>
  <si>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</si>
  <si>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</si>
  <si>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</si>
  <si>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</si>
  <si>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</si>
  <si>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</si>
  <si>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</si>
  <si>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</si>
  <si>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</si>
  <si>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</si>
  <si>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</si>
  <si>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</si>
  <si>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</si>
  <si>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</si>
  <si>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</si>
  <si>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</si>
  <si>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</si>
  <si>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</si>
  <si>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</si>
  <si>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</si>
  <si>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</si>
  <si>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</si>
  <si>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</si>
  <si>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</si>
  <si>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</si>
  <si>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</si>
  <si>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</si>
  <si>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</si>
  <si>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</si>
  <si>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</si>
  <si>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</si>
  <si>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</si>
  <si>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</si>
  <si>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</si>
  <si>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</si>
  <si>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</si>
  <si>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</si>
  <si>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</si>
  <si>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</si>
  <si>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</si>
  <si>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</si>
  <si>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</si>
  <si>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</si>
  <si>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</si>
  <si>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</si>
  <si>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</si>
  <si>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</si>
  <si>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</si>
  <si>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</si>
  <si>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</si>
  <si>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</si>
  <si>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</si>
  <si>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</si>
  <si>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</si>
  <si>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</si>
  <si>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</si>
  <si>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</si>
  <si>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</si>
  <si>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</si>
  <si>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</si>
  <si>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</si>
  <si>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</si>
  <si>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</si>
  <si>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</si>
  <si>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</si>
  <si>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</si>
  <si>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</si>
  <si>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</si>
  <si>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</si>
  <si>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</si>
  <si>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</si>
  <si>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</si>
  <si>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</si>
  <si>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</si>
  <si>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</si>
  <si>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</si>
  <si>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</si>
  <si>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</si>
  <si>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</si>
  <si>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</si>
  <si>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</si>
  <si>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</si>
  <si>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</si>
  <si>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</si>
  <si>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</si>
  <si>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</si>
  <si>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</si>
  <si>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</si>
  <si>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</si>
  <si>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</si>
  <si>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</si>
  <si>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</si>
  <si>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</si>
  <si>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</si>
  <si>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</si>
  <si>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</si>
  <si>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</si>
  <si>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</si>
  <si>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</si>
  <si>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</si>
  <si>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</si>
  <si>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</si>
  <si>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</si>
  <si>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</si>
  <si>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</si>
  <si>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</si>
  <si>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</si>
  <si>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</si>
  <si>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</si>
  <si>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</si>
  <si>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</si>
  <si>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</si>
  <si>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</si>
  <si>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</si>
  <si>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</si>
  <si>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</si>
  <si>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</si>
  <si>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</si>
  <si>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</si>
  <si>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</si>
  <si>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</si>
  <si>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</si>
  <si>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</si>
  <si>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</si>
  <si>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</si>
  <si>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</si>
  <si>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</si>
  <si>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</si>
  <si>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</si>
  <si>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</si>
  <si>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</si>
  <si>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</si>
  <si>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</si>
  <si>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</si>
  <si>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</si>
  <si>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</si>
  <si>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</si>
  <si>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</si>
  <si>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</si>
  <si>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</si>
  <si>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</si>
  <si>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</si>
  <si>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</si>
  <si>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</si>
  <si>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</si>
  <si>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</si>
  <si>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</si>
  <si>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</si>
  <si>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</si>
  <si>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</si>
  <si>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</si>
  <si>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</si>
  <si>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</si>
  <si>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</si>
  <si>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</si>
  <si>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</si>
  <si>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</si>
  <si>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</si>
  <si>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</si>
  <si>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</si>
  <si>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</si>
  <si>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</si>
  <si>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</si>
  <si>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</si>
  <si>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</si>
  <si>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</si>
  <si>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</si>
  <si>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</si>
  <si>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</si>
  <si>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</si>
  <si>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</si>
  <si>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</si>
  <si>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</si>
  <si>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</si>
  <si>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</si>
  <si>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</si>
  <si>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</si>
  <si>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</si>
  <si>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</si>
  <si>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</si>
  <si>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</si>
  <si>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</si>
  <si>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</si>
  <si>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</si>
  <si>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</si>
  <si>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</si>
  <si>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</si>
  <si>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</si>
  <si>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</si>
  <si>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</si>
  <si>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</si>
  <si>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</si>
  <si>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</si>
  <si>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</si>
  <si>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</si>
  <si>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</si>
  <si>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</si>
  <si>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</si>
  <si>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</si>
  <si>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</si>
  <si>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</si>
  <si>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</si>
  <si>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</si>
  <si>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</si>
  <si>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</si>
  <si>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</si>
  <si>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</si>
  <si>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</si>
  <si>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</si>
  <si>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</si>
  <si>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</si>
  <si>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</si>
  <si>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</si>
  <si>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</si>
  <si>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</si>
  <si>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</si>
  <si>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</si>
  <si>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</si>
  <si>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</si>
  <si>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</si>
  <si>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</si>
  <si>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</si>
  <si>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</si>
  <si>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</si>
  <si>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</si>
  <si>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</si>
  <si>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</si>
  <si>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</si>
  <si>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</si>
  <si>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</si>
  <si>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</si>
  <si>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</si>
  <si>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</si>
  <si>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</si>
  <si>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</si>
  <si>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</si>
  <si>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</si>
  <si>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</si>
  <si>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</si>
  <si>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</si>
  <si>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</si>
  <si>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</si>
  <si>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</si>
  <si>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</si>
  <si>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</si>
  <si>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</si>
  <si>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</si>
  <si>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</si>
  <si>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</si>
  <si>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</si>
  <si>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</si>
  <si>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</si>
  <si>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</si>
  <si>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</si>
  <si>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</si>
  <si>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</si>
  <si>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</si>
  <si>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</si>
  <si>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</si>
  <si>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</si>
  <si>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</si>
  <si>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</si>
  <si>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</si>
  <si>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</si>
  <si>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</si>
  <si>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</si>
  <si>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</si>
  <si>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</si>
  <si>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</si>
  <si>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</si>
  <si>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</si>
  <si>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</si>
  <si>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</si>
  <si>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</si>
  <si>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</si>
  <si>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</si>
  <si>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</si>
  <si>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</si>
  <si>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</si>
  <si>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</si>
  <si>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</si>
  <si>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</si>
  <si>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</si>
  <si>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</si>
  <si>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</si>
  <si>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</si>
  <si>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</si>
  <si>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</si>
  <si>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</si>
  <si>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</si>
  <si>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</si>
  <si>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</si>
  <si>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</si>
  <si>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</si>
  <si>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</si>
  <si>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</si>
  <si>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</si>
  <si>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</si>
  <si>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</si>
  <si>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</si>
  <si>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</si>
  <si>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</si>
  <si>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</si>
  <si>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</si>
  <si>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</si>
  <si>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</si>
  <si>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</si>
  <si>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</si>
  <si>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</si>
  <si>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</si>
  <si>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</si>
  <si>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</si>
  <si>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</si>
  <si>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</si>
  <si>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</si>
  <si>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</si>
  <si>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</si>
  <si>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</si>
  <si>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</si>
  <si>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</si>
  <si>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</si>
  <si>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</si>
  <si>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</si>
  <si>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</si>
  <si>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</si>
  <si>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</si>
  <si>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</si>
  <si>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</si>
  <si>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</si>
  <si>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</si>
  <si>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</si>
  <si>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</si>
  <si>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</si>
  <si>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</si>
  <si>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</si>
  <si>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</si>
  <si>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</si>
  <si>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</si>
  <si>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</si>
  <si>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</si>
  <si>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</si>
  <si>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</si>
  <si>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</si>
  <si>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</si>
  <si>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</si>
  <si>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</si>
  <si>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</si>
  <si>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</si>
  <si>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</si>
  <si>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</si>
  <si>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</si>
  <si>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</si>
  <si>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</si>
  <si>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</si>
  <si>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</si>
  <si>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</si>
  <si>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</si>
  <si>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</si>
  <si>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</si>
  <si>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</si>
  <si>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</si>
  <si>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</si>
  <si>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</si>
  <si>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</si>
  <si>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</si>
  <si>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</si>
  <si>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</si>
  <si>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</si>
  <si>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</si>
  <si>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</si>
  <si>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</si>
  <si>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</si>
  <si>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</si>
  <si>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</si>
  <si>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</si>
  <si>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</si>
  <si>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</si>
  <si>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</si>
  <si>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</si>
  <si>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</si>
  <si>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</si>
  <si>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</si>
  <si>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</si>
  <si>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</si>
  <si>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</si>
  <si>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</si>
  <si>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</si>
  <si>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</si>
  <si>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</si>
  <si>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</si>
  <si>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</si>
  <si>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</si>
  <si>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</si>
  <si>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</si>
  <si>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</si>
  <si>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</si>
  <si>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</si>
  <si>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</si>
  <si>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</si>
  <si>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</si>
  <si>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</si>
  <si>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</si>
  <si>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</si>
  <si>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</si>
  <si>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</si>
  <si>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</si>
  <si>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</si>
  <si>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</si>
  <si>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</si>
  <si>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</si>
  <si>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</si>
  <si>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</si>
  <si>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</si>
  <si>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</si>
  <si>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</si>
  <si>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</si>
  <si>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</si>
  <si>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</si>
  <si>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</si>
  <si>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</si>
  <si>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</si>
  <si>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</si>
  <si>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</si>
  <si>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</si>
  <si>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</si>
  <si>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</si>
  <si>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</si>
  <si>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</si>
  <si>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</si>
  <si>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</si>
  <si>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</si>
  <si>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</si>
  <si>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</si>
  <si>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</si>
  <si>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</si>
  <si>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</si>
  <si>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</si>
  <si>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</si>
  <si>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</si>
  <si>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</si>
  <si>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</si>
  <si>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</si>
  <si>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</si>
  <si>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</si>
  <si>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</si>
  <si>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</si>
  <si>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</si>
  <si>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</si>
  <si>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</si>
  <si>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</si>
  <si>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</si>
  <si>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</si>
  <si>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</si>
  <si>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</si>
  <si>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</si>
  <si>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</si>
  <si>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</si>
  <si>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</si>
  <si>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</si>
  <si>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</si>
  <si>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</si>
  <si>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</si>
  <si>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</si>
  <si>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</si>
  <si>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</si>
  <si>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</si>
  <si>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</si>
  <si>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</si>
  <si>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</si>
  <si>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</si>
  <si>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</si>
  <si>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</si>
  <si>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</si>
  <si>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</si>
  <si>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</si>
  <si>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</si>
  <si>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</si>
  <si>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</si>
  <si>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</si>
  <si>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</si>
  <si>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</si>
  <si>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</si>
  <si>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</si>
  <si>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</si>
  <si>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</si>
  <si>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</si>
  <si>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</si>
  <si>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</si>
  <si>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</si>
  <si>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</si>
  <si>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</si>
  <si>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</si>
  <si>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</si>
  <si>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</si>
  <si>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</si>
  <si>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</si>
  <si>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</si>
  <si>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</si>
  <si>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</si>
  <si>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</si>
  <si>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</si>
  <si>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</si>
  <si>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</si>
  <si>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</si>
  <si>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</si>
  <si>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</si>
  <si>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</si>
  <si>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</si>
  <si>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</si>
  <si>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</si>
  <si>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</si>
  <si>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</si>
  <si>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</si>
  <si>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</si>
  <si>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</si>
  <si>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</si>
  <si>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</si>
  <si>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</si>
  <si>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</si>
  <si>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</si>
  <si>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</si>
  <si>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</si>
  <si>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</si>
  <si>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</si>
  <si>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</si>
  <si>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</si>
  <si>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</si>
  <si>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</si>
  <si>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</si>
  <si>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</si>
  <si>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</si>
  <si>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</si>
  <si>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</si>
  <si>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</si>
  <si>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</si>
  <si>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</si>
  <si>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</si>
  <si>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</si>
  <si>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</si>
  <si>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</si>
  <si>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</si>
  <si>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</si>
  <si>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</si>
  <si>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</si>
  <si>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</si>
  <si>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</si>
  <si>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</si>
  <si>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</si>
  <si>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</si>
  <si>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</si>
  <si>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</si>
  <si>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</si>
  <si>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</si>
  <si>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</si>
  <si>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</si>
  <si>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</si>
  <si>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</si>
  <si>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</si>
  <si>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</si>
  <si>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</si>
  <si>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</si>
  <si>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</si>
  <si>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</si>
  <si>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</si>
  <si>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</si>
  <si>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</si>
  <si>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</si>
  <si>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</si>
  <si>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</si>
  <si>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</si>
  <si>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</si>
  <si>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</si>
  <si>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</si>
  <si>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</si>
  <si>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</si>
  <si>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</si>
  <si>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</si>
  <si>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</si>
  <si>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</si>
  <si>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</si>
  <si>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</si>
  <si>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</si>
  <si>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</si>
  <si>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</si>
  <si>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</si>
  <si>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</si>
  <si>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</si>
  <si>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</si>
  <si>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</si>
  <si>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</si>
  <si>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</si>
  <si>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</si>
  <si>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</si>
  <si>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</si>
  <si>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</si>
  <si>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</si>
  <si>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</si>
  <si>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</si>
  <si>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</si>
  <si>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</si>
  <si>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</si>
  <si>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</si>
  <si>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</si>
  <si>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</si>
  <si>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</si>
  <si>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</si>
  <si>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</si>
  <si>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</si>
  <si>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</si>
  <si>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</si>
  <si>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</si>
  <si>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</si>
  <si>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</si>
  <si>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</si>
  <si>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</si>
  <si>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</si>
  <si>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</si>
  <si>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</si>
  <si>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</si>
  <si>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</si>
  <si>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</si>
  <si>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</si>
  <si>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</si>
  <si>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</si>
  <si>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</si>
  <si>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</si>
  <si>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</si>
  <si>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</si>
  <si>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</si>
  <si>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</si>
  <si>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</si>
  <si>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</si>
  <si>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</si>
  <si>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</si>
  <si>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</si>
  <si>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</si>
  <si>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</si>
  <si>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</si>
  <si>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</si>
  <si>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</si>
  <si>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</si>
  <si>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</si>
  <si>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</si>
  <si>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</si>
  <si>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</si>
  <si>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</si>
  <si>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</si>
  <si>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</si>
  <si>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</si>
  <si>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</si>
  <si>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</si>
  <si>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</si>
  <si>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</si>
  <si>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</si>
  <si>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</si>
  <si>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</si>
  <si>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</si>
  <si>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</si>
  <si>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</si>
  <si>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</si>
  <si>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</si>
  <si>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</si>
  <si>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</si>
  <si>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</si>
  <si>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</si>
  <si>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</si>
  <si>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</si>
  <si>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</si>
  <si>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</si>
  <si>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</si>
  <si>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</si>
  <si>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</si>
  <si>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</si>
  <si>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</si>
  <si>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</si>
  <si>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</si>
  <si>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</si>
  <si>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</si>
  <si>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</si>
  <si>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</si>
  <si>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</si>
  <si>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</si>
  <si>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</si>
  <si>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</si>
  <si>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</si>
  <si>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</si>
  <si>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</si>
  <si>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</si>
  <si>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</si>
  <si>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</si>
  <si>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</si>
  <si>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</si>
  <si>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</si>
  <si>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</si>
  <si>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</si>
  <si>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</si>
  <si>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</si>
  <si>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</si>
  <si>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</si>
  <si>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</si>
  <si>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</si>
  <si>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</si>
  <si>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</si>
  <si>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</si>
  <si>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</si>
  <si>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</si>
  <si>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</si>
  <si>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</si>
  <si>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</si>
  <si>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</si>
  <si>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</si>
  <si>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</si>
  <si>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</si>
  <si>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</si>
  <si>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</si>
  <si>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</si>
  <si>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</si>
  <si>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</si>
  <si>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</si>
  <si>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</si>
  <si>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</si>
  <si>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</si>
  <si>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</si>
  <si>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</si>
  <si>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</si>
  <si>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</si>
  <si>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</si>
  <si>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</si>
  <si>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</si>
  <si>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</si>
  <si>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</si>
  <si>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</si>
  <si>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</si>
  <si>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</si>
  <si>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</si>
  <si>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</si>
  <si>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</si>
  <si>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</si>
  <si>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</si>
  <si>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</si>
  <si>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</si>
  <si>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</si>
  <si>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</si>
  <si>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</si>
  <si>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</si>
  <si>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</si>
  <si>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</si>
  <si>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</si>
  <si>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</si>
  <si>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</si>
  <si>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</si>
  <si>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</si>
  <si>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</si>
  <si>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</si>
  <si>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</si>
  <si>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</si>
  <si>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</si>
  <si>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</si>
  <si>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</si>
  <si>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</si>
  <si>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</si>
  <si>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</si>
  <si>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</si>
  <si>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</si>
  <si>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</si>
  <si>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</si>
  <si>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</si>
  <si>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</si>
  <si>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</si>
  <si>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</si>
  <si>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</si>
  <si>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</si>
  <si>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</si>
  <si>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</si>
  <si>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</si>
  <si>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</si>
  <si>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</si>
  <si>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</si>
  <si>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</si>
  <si>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</si>
  <si>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</si>
  <si>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</si>
  <si>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</si>
  <si>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</si>
  <si>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</si>
  <si>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</si>
  <si>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</si>
  <si>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</si>
  <si>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</si>
  <si>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</si>
  <si>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</si>
  <si>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</si>
  <si>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</si>
  <si>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</si>
  <si>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</si>
  <si>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</si>
  <si>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</si>
  <si>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</si>
  <si>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</si>
  <si>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</si>
  <si>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</si>
  <si>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</si>
  <si>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</si>
  <si>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</si>
  <si>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</si>
  <si>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</si>
  <si>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</si>
  <si>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</si>
  <si>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</si>
  <si>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</si>
  <si>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</si>
  <si>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</si>
  <si>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</si>
  <si>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</si>
  <si>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</si>
  <si>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</si>
  <si>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</si>
  <si>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</si>
  <si>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</si>
  <si>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</si>
  <si>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</si>
  <si>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</si>
  <si>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</si>
  <si>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</si>
  <si>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</si>
  <si>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</si>
  <si>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</si>
  <si>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</si>
  <si>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</si>
  <si>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</si>
  <si>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</si>
  <si>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</si>
  <si>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</si>
  <si>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</si>
  <si>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</si>
  <si>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</si>
  <si>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</si>
  <si>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</si>
  <si>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</si>
  <si>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</si>
  <si>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</si>
  <si>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</si>
  <si>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</si>
  <si>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</si>
  <si>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</si>
  <si>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</si>
  <si>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</si>
  <si>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</si>
  <si>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</si>
  <si>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</si>
  <si>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</si>
  <si>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</si>
  <si>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</si>
  <si>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</si>
  <si>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</si>
  <si>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</si>
  <si>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</si>
  <si>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</si>
  <si>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</si>
  <si>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</si>
  <si>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</si>
  <si>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</si>
  <si>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</si>
  <si>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</si>
  <si>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</si>
  <si>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</si>
  <si>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</si>
  <si>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</si>
  <si>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</si>
  <si>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</si>
  <si>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</si>
  <si>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</si>
  <si>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</si>
  <si>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</si>
  <si>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</si>
  <si>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</si>
  <si>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</si>
  <si>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</si>
  <si>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</si>
  <si>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</si>
  <si>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</si>
  <si>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</si>
  <si>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</si>
  <si>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</si>
  <si>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</si>
  <si>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</si>
  <si>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</si>
  <si>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</si>
  <si>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</si>
  <si>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</si>
  <si>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</si>
  <si>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</si>
  <si>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</si>
  <si>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</si>
  <si>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</si>
  <si>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</si>
  <si>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</si>
  <si>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</si>
  <si>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</si>
  <si>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</si>
  <si>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</si>
  <si>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</si>
  <si>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</si>
  <si>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</si>
  <si>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</si>
  <si>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</si>
  <si>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</si>
  <si>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</si>
  <si>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</si>
  <si>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</si>
  <si>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</si>
  <si>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</si>
  <si>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</si>
  <si>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</si>
  <si>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</si>
  <si>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</si>
  <si>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</si>
  <si>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</si>
  <si>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</si>
  <si>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</si>
  <si>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</si>
  <si>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</si>
  <si>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</si>
  <si>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</si>
  <si>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</si>
  <si>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</si>
  <si>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</si>
  <si>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</si>
  <si>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</si>
  <si>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</si>
  <si>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</si>
  <si>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</si>
  <si>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</si>
  <si>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</si>
  <si>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</si>
  <si>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</si>
  <si>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</si>
  <si>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</si>
  <si>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</si>
  <si>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</si>
  <si>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</si>
  <si>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</si>
  <si>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</si>
  <si>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</si>
  <si>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</si>
  <si>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</si>
  <si>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</si>
  <si>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</si>
  <si>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</si>
  <si>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</si>
  <si>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</si>
  <si>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</si>
  <si>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</si>
  <si>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</si>
  <si>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</si>
  <si>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</si>
  <si>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</si>
  <si>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</si>
  <si>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</si>
  <si>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</si>
  <si>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</si>
  <si>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</si>
  <si>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</si>
  <si>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</si>
  <si>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</si>
  <si>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</si>
  <si>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</si>
  <si>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</si>
  <si>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</si>
  <si>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</si>
  <si>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</si>
  <si>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</si>
  <si>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</si>
  <si>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</si>
  <si>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</si>
  <si>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</si>
  <si>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</si>
  <si>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</si>
  <si>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</si>
  <si>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</si>
  <si>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</si>
  <si>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</si>
  <si>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</si>
  <si>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</si>
  <si>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</si>
  <si>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</si>
  <si>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</si>
  <si>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</si>
  <si>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</si>
  <si>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</si>
  <si>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</si>
  <si>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</si>
  <si>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</si>
  <si>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</si>
  <si>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</si>
  <si>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</si>
  <si>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</si>
  <si>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</si>
  <si>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</si>
  <si>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</si>
  <si>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</si>
  <si>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</si>
  <si>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</si>
  <si>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</si>
  <si>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</si>
  <si>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</si>
  <si>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</si>
  <si>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</si>
  <si>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</si>
  <si>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</si>
  <si>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</si>
  <si>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</si>
  <si>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</si>
  <si>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</si>
  <si>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</si>
  <si>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</si>
  <si>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</si>
  <si>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</si>
  <si>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</si>
  <si>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</si>
  <si>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</si>
  <si>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</si>
  <si>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</si>
  <si>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</si>
  <si>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</si>
  <si>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</si>
  <si>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</si>
  <si>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</si>
  <si>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</si>
  <si>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</si>
  <si>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</si>
  <si>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</si>
  <si>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</si>
  <si>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</si>
  <si>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</si>
  <si>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</si>
  <si>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</si>
  <si>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</si>
  <si>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</si>
  <si>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</si>
  <si>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</si>
  <si>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</si>
  <si>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</si>
  <si>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</si>
  <si>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</si>
  <si>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</si>
  <si>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</si>
  <si>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</si>
  <si>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</si>
  <si>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</si>
  <si>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</si>
  <si>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</si>
  <si>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</si>
  <si>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</si>
  <si>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</si>
  <si>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</si>
  <si>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</si>
  <si>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</si>
  <si>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</si>
  <si>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</si>
  <si>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</si>
  <si>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</si>
  <si>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</si>
  <si>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</si>
  <si>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</si>
  <si>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</si>
  <si>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</si>
  <si>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</si>
  <si>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</si>
  <si>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</si>
  <si>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</si>
  <si>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</si>
  <si>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</si>
  <si>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</si>
  <si>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</si>
  <si>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</si>
  <si>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</si>
  <si>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</si>
  <si>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</si>
  <si>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</si>
  <si>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</si>
  <si>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</si>
  <si>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</si>
  <si>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</si>
  <si>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</si>
  <si>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</si>
  <si>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</si>
  <si>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</si>
  <si>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</si>
  <si>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</si>
  <si>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</si>
  <si>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</si>
  <si>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</si>
  <si>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</si>
  <si>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</si>
  <si>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</si>
  <si>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</si>
  <si>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</si>
  <si>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</si>
  <si>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</si>
  <si>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</si>
  <si>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</si>
  <si>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</si>
  <si>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</si>
  <si>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</si>
  <si>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</si>
  <si>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</si>
  <si>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</si>
  <si>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</si>
  <si>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</si>
  <si>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</si>
  <si>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</si>
  <si>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</si>
  <si>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</si>
  <si>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</si>
  <si>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</si>
  <si>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</si>
  <si>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</si>
  <si>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</si>
  <si>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</si>
  <si>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</si>
  <si>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</si>
  <si>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</si>
  <si>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</si>
  <si>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</si>
  <si>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</si>
  <si>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</si>
  <si>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</si>
  <si>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</si>
  <si>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</si>
  <si>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</si>
  <si>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</si>
  <si>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</si>
  <si>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</si>
  <si>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</si>
  <si>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</si>
  <si>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</si>
  <si>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</si>
  <si>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</si>
  <si>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</si>
  <si>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</si>
  <si>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</si>
  <si>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</si>
  <si>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</si>
  <si>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</si>
  <si>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</si>
  <si>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</si>
  <si>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</si>
  <si>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</si>
  <si>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</si>
  <si>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</si>
  <si>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</si>
  <si>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</si>
  <si>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</si>
  <si>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</si>
  <si>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</si>
  <si>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</si>
  <si>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</si>
  <si>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</si>
  <si>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</si>
  <si>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</si>
  <si>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</si>
  <si>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</si>
  <si>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</si>
  <si>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</si>
  <si>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</si>
  <si>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</si>
  <si>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</si>
  <si>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</si>
  <si>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</si>
  <si>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</si>
  <si>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</si>
  <si>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</si>
  <si>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</si>
  <si>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</si>
  <si>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</si>
  <si>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</si>
  <si>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</si>
  <si>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</si>
  <si>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</si>
  <si>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</si>
  <si>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</si>
  <si>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</si>
  <si>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</si>
  <si>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</si>
  <si>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</si>
  <si>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</si>
  <si>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</si>
  <si>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</si>
  <si>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</si>
  <si>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</si>
  <si>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</si>
  <si>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</si>
  <si>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</si>
  <si>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</si>
  <si>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</si>
  <si>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</si>
  <si>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</si>
  <si>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</si>
  <si>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</si>
  <si>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</si>
  <si>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</si>
  <si>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</si>
  <si>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</si>
  <si>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</si>
  <si>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</si>
  <si>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</si>
  <si>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</si>
  <si>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</si>
  <si>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</si>
  <si>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</si>
  <si>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</si>
  <si>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</si>
  <si>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</si>
  <si>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</si>
  <si>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</si>
  <si>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</si>
  <si>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</si>
  <si>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</si>
  <si>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</si>
  <si>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</si>
  <si>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</si>
  <si>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</si>
  <si>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</si>
  <si>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</si>
  <si>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</si>
  <si>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</si>
  <si>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</si>
  <si>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</si>
  <si>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</si>
  <si>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</si>
  <si>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</si>
  <si>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</si>
  <si>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</si>
  <si>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</si>
  <si>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</si>
  <si>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</si>
  <si>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</si>
  <si>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</si>
  <si>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</si>
  <si>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</si>
  <si>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</si>
  <si>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</si>
  <si>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</si>
  <si>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</si>
  <si>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</si>
  <si>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</si>
  <si>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</si>
  <si>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</si>
  <si>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</si>
  <si>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</si>
  <si>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</si>
  <si>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</si>
  <si>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</si>
  <si>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</si>
  <si>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</si>
  <si>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</si>
  <si>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</si>
  <si>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</si>
  <si>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</si>
  <si>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</si>
  <si>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</si>
  <si>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</si>
  <si>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</si>
  <si>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</si>
  <si>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</si>
  <si>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</si>
  <si>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</si>
  <si>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</si>
  <si>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</si>
  <si>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</si>
  <si>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</si>
  <si>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</si>
  <si>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</si>
  <si>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</si>
  <si>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</si>
  <si>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</si>
  <si>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</si>
  <si>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</si>
  <si>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</si>
  <si>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</si>
  <si>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</si>
  <si>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</si>
  <si>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</si>
  <si>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</si>
  <si>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</si>
  <si>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</si>
  <si>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</si>
  <si>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</si>
  <si>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</si>
  <si>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</si>
  <si>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</si>
  <si>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</si>
  <si>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</si>
  <si>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</si>
  <si>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</si>
  <si>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</si>
  <si>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</si>
  <si>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</si>
  <si>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</si>
  <si>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</si>
  <si>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</si>
  <si>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</si>
  <si>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</si>
  <si>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</si>
  <si>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</si>
  <si>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</si>
  <si>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</si>
  <si>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</si>
  <si>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</si>
  <si>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</si>
  <si>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</si>
  <si>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</si>
  <si>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</si>
  <si>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</si>
  <si>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</si>
  <si>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</si>
  <si>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</si>
  <si>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</si>
  <si>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</si>
  <si>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</si>
  <si>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</si>
  <si>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</si>
  <si>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</si>
  <si>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</si>
  <si>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</si>
  <si>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</si>
  <si>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</si>
  <si>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</si>
  <si>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</si>
  <si>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</si>
  <si>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</si>
  <si>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</si>
  <si>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</si>
  <si>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</si>
  <si>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</si>
  <si>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</si>
  <si>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</si>
  <si>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</si>
  <si>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</si>
  <si>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</si>
  <si>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</si>
  <si>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</si>
  <si>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</si>
  <si>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</si>
  <si>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</si>
  <si>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</si>
  <si>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</si>
  <si>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</si>
  <si>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</si>
  <si>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</si>
  <si>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</si>
  <si>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</si>
  <si>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</si>
  <si>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</si>
  <si>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</si>
  <si>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</si>
  <si>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</si>
  <si>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</si>
  <si>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</si>
  <si>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</si>
  <si>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</si>
  <si>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</si>
  <si>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</si>
  <si>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</si>
  <si>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</si>
  <si>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</si>
  <si>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</si>
  <si>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</si>
  <si>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</si>
  <si>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</si>
  <si>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</si>
  <si>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</si>
  <si>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</si>
  <si>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</si>
  <si>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</si>
  <si>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</si>
  <si>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</si>
  <si>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</si>
  <si>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</si>
  <si>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</si>
  <si>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</si>
  <si>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</si>
  <si>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</si>
  <si>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</si>
  <si>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</si>
  <si>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</si>
  <si>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</si>
  <si>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</si>
  <si>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</si>
  <si>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</si>
  <si>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</si>
  <si>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</si>
  <si>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</si>
  <si>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</si>
  <si>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</si>
  <si>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</si>
  <si>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</si>
  <si>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</si>
  <si>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</si>
  <si>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</si>
  <si>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</si>
  <si>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</si>
  <si>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</si>
  <si>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</si>
  <si>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</si>
  <si>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</si>
  <si>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</si>
  <si>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</si>
  <si>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</si>
  <si>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</si>
  <si>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</si>
  <si>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</si>
  <si>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</si>
  <si>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</si>
  <si>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</si>
  <si>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</si>
  <si>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</si>
  <si>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</si>
  <si>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</si>
  <si>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</si>
  <si>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</si>
  <si>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</si>
  <si>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</si>
  <si>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</si>
  <si>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</si>
  <si>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</si>
  <si>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</si>
  <si>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</si>
  <si>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</si>
  <si>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</si>
  <si>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</si>
  <si>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</si>
  <si>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</si>
  <si>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</si>
  <si>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</si>
  <si>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</si>
  <si>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</si>
  <si>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</si>
  <si>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</si>
  <si>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</si>
  <si>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</si>
  <si>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</si>
  <si>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</si>
  <si>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</si>
  <si>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</si>
  <si>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</si>
  <si>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</si>
  <si>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</si>
  <si>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</si>
  <si>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</si>
  <si>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</si>
  <si>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</si>
  <si>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</si>
  <si>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</si>
  <si>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</si>
  <si>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</si>
  <si>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</si>
  <si>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</si>
  <si>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</si>
  <si>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</si>
  <si>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</si>
  <si>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</si>
  <si>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</si>
  <si>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</si>
  <si>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</si>
  <si>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</si>
  <si>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</si>
  <si>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</si>
  <si>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</si>
  <si>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</si>
  <si>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</si>
  <si>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</si>
  <si>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</si>
  <si>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</si>
  <si>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</si>
  <si>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</si>
  <si>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</si>
  <si>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</si>
  <si>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</si>
  <si>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</si>
  <si>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</si>
  <si>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</si>
  <si>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</si>
  <si>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</si>
  <si>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</si>
  <si>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</si>
  <si>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</si>
  <si>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</si>
  <si>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</si>
  <si>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</si>
  <si>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</si>
  <si>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</si>
  <si>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</si>
  <si>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</si>
  <si>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</si>
  <si>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</si>
  <si>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</si>
  <si>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</si>
  <si>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</si>
  <si>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</si>
  <si>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</si>
  <si>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</si>
  <si>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</si>
  <si>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</si>
  <si>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</si>
  <si>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</si>
  <si>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</si>
  <si>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</si>
  <si>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</si>
  <si>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</si>
  <si>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</si>
  <si>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</si>
  <si>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</si>
  <si>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</si>
  <si>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</si>
  <si>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</si>
  <si>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</si>
  <si>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</si>
  <si>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</si>
  <si>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</si>
  <si>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</si>
  <si>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</si>
  <si>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</si>
  <si>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</si>
  <si>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</si>
  <si>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</si>
  <si>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</si>
  <si>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</si>
  <si>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</si>
  <si>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</si>
  <si>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</si>
  <si>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</si>
  <si>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</si>
  <si>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</si>
  <si>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</si>
  <si>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</si>
  <si>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</si>
  <si>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</si>
  <si>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</si>
  <si>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</si>
  <si>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</si>
  <si>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</si>
  <si>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</si>
  <si>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</si>
  <si>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</si>
  <si>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</si>
  <si>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</si>
  <si>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</si>
  <si>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</si>
  <si>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</si>
  <si>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</si>
  <si>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</si>
  <si>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</si>
  <si>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</si>
  <si>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</si>
  <si>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</si>
  <si>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</si>
  <si>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</si>
  <si>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</si>
  <si>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</si>
  <si>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</si>
  <si>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</si>
  <si>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</si>
  <si>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</si>
  <si>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</si>
  <si>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</si>
  <si>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</si>
  <si>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</si>
  <si>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</si>
  <si>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</si>
  <si>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</si>
  <si>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</si>
  <si>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</si>
  <si>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</si>
  <si>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</si>
  <si>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</si>
  <si>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</si>
  <si>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</si>
  <si>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</si>
  <si>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</si>
  <si>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</si>
  <si>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</si>
  <si>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</si>
  <si>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</si>
  <si>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</si>
  <si>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</si>
  <si>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</si>
  <si>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</si>
  <si>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</si>
  <si>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</si>
  <si>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</si>
  <si>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</si>
  <si>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</si>
  <si>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</si>
  <si>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</si>
  <si>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</si>
  <si>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</si>
  <si>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</si>
  <si>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</si>
  <si>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</si>
  <si>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</si>
  <si>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</si>
  <si>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</si>
  <si>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</si>
  <si>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</si>
  <si>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</si>
  <si>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</si>
  <si>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</si>
  <si>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</si>
  <si>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</si>
  <si>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</si>
  <si>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</si>
  <si>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</si>
  <si>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</si>
  <si>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</si>
  <si>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</si>
  <si>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</si>
  <si>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</si>
  <si>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</si>
  <si>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</si>
  <si>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</si>
  <si>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</si>
  <si>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</si>
  <si>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</si>
  <si>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</si>
  <si>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</si>
  <si>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</si>
  <si>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</si>
  <si>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</si>
  <si>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</si>
  <si>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</si>
  <si>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</si>
  <si>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</si>
  <si>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</si>
  <si>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</si>
  <si>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</si>
  <si>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</si>
  <si>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</si>
  <si>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</si>
  <si>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</si>
  <si>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</si>
  <si>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</si>
  <si>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</si>
  <si>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</si>
  <si>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</si>
  <si>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</si>
  <si>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</si>
  <si>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</si>
  <si>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</si>
  <si>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</si>
  <si>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</si>
  <si>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</si>
  <si>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</si>
  <si>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</si>
  <si>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</si>
  <si>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</si>
  <si>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</si>
  <si>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</si>
  <si>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</si>
  <si>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</si>
  <si>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</si>
  <si>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</si>
  <si>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</si>
  <si>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</si>
  <si>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</si>
  <si>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</si>
  <si>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</si>
  <si>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</si>
  <si>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</si>
  <si>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</si>
  <si>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</si>
  <si>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</si>
  <si>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</si>
  <si>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</si>
  <si>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</si>
  <si>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</si>
  <si>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</si>
  <si>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</si>
  <si>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</si>
  <si>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</si>
  <si>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</si>
  <si>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</si>
  <si>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</si>
  <si>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</si>
  <si>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</si>
  <si>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</si>
  <si>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</si>
  <si>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</si>
  <si>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</si>
  <si>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</si>
  <si>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</si>
  <si>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</si>
  <si>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</si>
  <si>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</si>
  <si>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</si>
  <si>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</si>
  <si>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</si>
  <si>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</si>
  <si>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</si>
  <si>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</si>
  <si>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</si>
  <si>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</si>
  <si>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</si>
  <si>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</si>
  <si>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</si>
  <si>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</si>
  <si>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</si>
  <si>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</si>
  <si>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</si>
  <si>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</si>
  <si>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</si>
  <si>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</si>
  <si>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</si>
  <si>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</si>
  <si>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</si>
  <si>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</si>
  <si>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</si>
  <si>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</si>
  <si>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</si>
  <si>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</si>
  <si>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</si>
  <si>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</si>
  <si>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</si>
  <si>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</si>
  <si>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</si>
  <si>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</si>
  <si>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</si>
  <si>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</si>
  <si>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</si>
  <si>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</si>
  <si>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</si>
  <si>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</si>
  <si>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</si>
  <si>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</si>
  <si>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</si>
  <si>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</si>
  <si>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</si>
  <si>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</si>
  <si>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</si>
  <si>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</si>
  <si>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</si>
  <si>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</si>
  <si>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</si>
  <si>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</si>
  <si>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</si>
  <si>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</si>
  <si>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</si>
  <si>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</si>
  <si>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</si>
  <si>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</si>
  <si>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</si>
  <si>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</si>
  <si>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</si>
  <si>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</si>
  <si>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</si>
  <si>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</si>
  <si>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</si>
  <si>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</si>
  <si>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</si>
  <si>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</si>
  <si>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</si>
  <si>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</si>
  <si>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</si>
  <si>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</si>
  <si>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</si>
  <si>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</si>
  <si>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</si>
  <si>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</si>
  <si>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</si>
  <si>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</si>
  <si>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</si>
  <si>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</si>
  <si>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</si>
  <si>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</si>
  <si>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</si>
  <si>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</si>
  <si>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</si>
  <si>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</si>
  <si>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</si>
  <si>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</si>
  <si>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</si>
  <si>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</si>
  <si>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</si>
  <si>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</si>
  <si>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</si>
  <si>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</si>
  <si>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</si>
  <si>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</si>
  <si>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</si>
  <si>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</si>
  <si>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</si>
  <si>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</si>
  <si>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</si>
  <si>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</si>
  <si>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</si>
  <si>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</si>
  <si>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</si>
  <si>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</si>
  <si>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</si>
  <si>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</si>
  <si>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</si>
  <si>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</si>
  <si>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</si>
  <si>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</si>
  <si>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</si>
  <si>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</si>
  <si>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</si>
  <si>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</si>
  <si>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</si>
  <si>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</si>
  <si>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</si>
  <si>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</si>
  <si>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</si>
  <si>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</si>
  <si>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</si>
  <si>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</si>
  <si>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</si>
  <si>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</si>
  <si>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</si>
  <si>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</si>
  <si>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</si>
  <si>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</si>
  <si>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</si>
  <si>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</si>
  <si>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</si>
  <si>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</si>
  <si>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</si>
  <si>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</si>
  <si>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</si>
  <si>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</si>
  <si>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</si>
  <si>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</si>
  <si>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</si>
  <si>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</si>
  <si>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</si>
  <si>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</si>
  <si>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</si>
  <si>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</si>
  <si>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</si>
  <si>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</si>
  <si>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</si>
  <si>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</si>
  <si>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</si>
  <si>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</si>
  <si>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</si>
  <si>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</si>
  <si>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</si>
  <si>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</si>
  <si>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</si>
  <si>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</si>
  <si>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</si>
  <si>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</si>
  <si>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</si>
  <si>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</si>
  <si>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</si>
  <si>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</si>
  <si>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</si>
  <si>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</si>
  <si>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</si>
  <si>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</si>
  <si>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</si>
  <si>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</si>
  <si>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</si>
  <si>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</si>
  <si>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</si>
  <si>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</si>
  <si>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</si>
  <si>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</si>
  <si>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</si>
  <si>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</si>
  <si>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</si>
  <si>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</si>
  <si>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</si>
  <si>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</si>
  <si>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</si>
  <si>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</si>
  <si>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</si>
  <si>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</si>
  <si>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</si>
  <si>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</si>
  <si>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</si>
  <si>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</si>
  <si>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</si>
  <si>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</si>
  <si>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</si>
  <si>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</si>
  <si>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</si>
  <si>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</si>
  <si>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</si>
  <si>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</si>
  <si>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</si>
  <si>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</si>
  <si>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</si>
  <si>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</si>
  <si>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</si>
  <si>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</si>
  <si>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</si>
  <si>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</si>
  <si>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</si>
  <si>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</si>
  <si>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</si>
  <si>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</si>
  <si>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</si>
  <si>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</si>
  <si>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</si>
  <si>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</si>
  <si>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</si>
  <si>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</si>
  <si>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</si>
  <si>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</si>
  <si>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</si>
  <si>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</si>
  <si>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</si>
  <si>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</si>
  <si>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</si>
  <si>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</si>
  <si>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</si>
  <si>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</si>
  <si>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</si>
  <si>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</si>
  <si>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</si>
  <si>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</si>
  <si>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</si>
  <si>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</si>
  <si>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</si>
  <si>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</si>
  <si>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</si>
  <si>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</si>
  <si>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</si>
  <si>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</si>
  <si>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</si>
  <si>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</si>
  <si>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</si>
  <si>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</si>
  <si>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</si>
  <si>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</si>
  <si>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</si>
  <si>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</si>
  <si>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</si>
  <si>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</si>
  <si>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</si>
  <si>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</si>
  <si>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</si>
  <si>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</si>
  <si>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</si>
  <si>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</si>
  <si>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</si>
  <si>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</si>
  <si>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</si>
  <si>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</si>
  <si>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</si>
  <si>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</si>
  <si>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</si>
  <si>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</si>
  <si>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</si>
  <si>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</si>
  <si>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</si>
  <si>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</si>
  <si>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</si>
  <si>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</si>
  <si>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</si>
  <si>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</si>
  <si>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</si>
  <si>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</si>
  <si>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</si>
  <si>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</si>
  <si>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</si>
  <si>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</si>
  <si>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</si>
  <si>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</si>
  <si>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</si>
  <si>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</si>
  <si>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</si>
  <si>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</si>
  <si>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</si>
  <si>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</si>
  <si>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</si>
  <si>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</si>
  <si>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</si>
  <si>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</si>
  <si>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</si>
  <si>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</si>
  <si>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</si>
  <si>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</si>
  <si>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</si>
  <si>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</si>
  <si>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</si>
  <si>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</si>
  <si>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</si>
  <si>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</si>
  <si>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</si>
  <si>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</si>
  <si>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</si>
  <si>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</si>
  <si>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</si>
  <si>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</si>
  <si>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</si>
  <si>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</si>
  <si>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</si>
  <si>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</si>
  <si>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</si>
  <si>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</si>
  <si>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</si>
  <si>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</si>
  <si>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</si>
  <si>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</si>
  <si>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</si>
  <si>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</si>
  <si>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</si>
  <si>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</si>
  <si>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</si>
  <si>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</si>
  <si>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</si>
  <si>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</si>
  <si>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</si>
  <si>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</si>
  <si>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</si>
  <si>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</si>
  <si>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</si>
  <si>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</si>
  <si>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</si>
  <si>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</si>
  <si>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</si>
  <si>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</si>
  <si>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</si>
  <si>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</si>
  <si>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</si>
  <si>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</si>
  <si>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</si>
  <si>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</si>
  <si>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</si>
  <si>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</si>
  <si>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</si>
  <si>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</si>
  <si>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</si>
  <si>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</si>
  <si>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</si>
  <si>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</si>
  <si>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</si>
  <si>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</si>
  <si>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</si>
  <si>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</si>
  <si>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</si>
  <si>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</si>
  <si>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</si>
  <si>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</si>
  <si>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</si>
  <si>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</si>
  <si>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</si>
  <si>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</si>
  <si>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</si>
  <si>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</si>
  <si>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</si>
  <si>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</si>
  <si>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</si>
  <si>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</si>
  <si>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</si>
  <si>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</si>
  <si>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</si>
  <si>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</si>
  <si>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</si>
  <si>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</si>
  <si>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</si>
  <si>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</si>
  <si>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</si>
  <si>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</si>
  <si>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</si>
  <si>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</si>
  <si>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</si>
  <si>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</si>
  <si>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</si>
  <si>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</si>
  <si>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</si>
  <si>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</si>
  <si>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</si>
  <si>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</si>
  <si>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</si>
  <si>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</si>
  <si>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</si>
  <si>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</si>
  <si>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</si>
  <si>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</si>
  <si>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</si>
  <si>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</si>
  <si>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</si>
  <si>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</si>
  <si>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</si>
  <si>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</si>
  <si>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</si>
  <si>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</si>
  <si>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</si>
  <si>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</si>
  <si>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</si>
  <si>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</si>
  <si>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</si>
  <si>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</si>
  <si>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</si>
  <si>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</si>
  <si>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</si>
  <si>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</si>
  <si>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</si>
  <si>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</si>
  <si>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</si>
  <si>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</si>
  <si>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</si>
  <si>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</si>
  <si>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</si>
  <si>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</si>
  <si>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</si>
  <si>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</si>
  <si>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</si>
  <si>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</si>
  <si>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</si>
  <si>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</si>
  <si>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</si>
  <si>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</si>
  <si>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</si>
  <si>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</si>
  <si>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</si>
  <si>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</si>
  <si>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</si>
  <si>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</si>
  <si>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</si>
  <si>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</si>
  <si>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</si>
  <si>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</si>
  <si>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</si>
  <si>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</si>
  <si>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</si>
  <si>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</si>
  <si>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</si>
  <si>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</si>
  <si>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</si>
  <si>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</si>
  <si>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</si>
  <si>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</si>
  <si>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</si>
  <si>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</si>
  <si>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</si>
  <si>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</si>
  <si>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</si>
  <si>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</si>
  <si>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</si>
  <si>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</si>
  <si>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</si>
  <si>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</si>
  <si>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</si>
  <si>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</si>
  <si>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</si>
  <si>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</si>
  <si>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</si>
  <si>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</si>
  <si>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</si>
  <si>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</si>
  <si>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</si>
  <si>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</si>
  <si>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</si>
  <si>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</si>
  <si>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</si>
  <si>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</si>
  <si>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</si>
  <si>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</si>
  <si>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</si>
  <si>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</si>
  <si>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</si>
  <si>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</si>
  <si>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</si>
  <si>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</si>
  <si>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</si>
  <si>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</si>
  <si>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</si>
  <si>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</si>
  <si>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</si>
  <si>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</si>
  <si>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</si>
  <si>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</si>
  <si>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</si>
  <si>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</si>
  <si>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</si>
  <si>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</si>
  <si>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</si>
  <si>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</si>
  <si>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</si>
  <si>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</si>
  <si>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</si>
  <si>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</si>
  <si>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</si>
  <si>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</si>
  <si>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</si>
  <si>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</si>
  <si>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</si>
  <si>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</si>
  <si>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</si>
  <si>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</si>
  <si>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</si>
  <si>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</si>
  <si>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</si>
  <si>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</si>
  <si>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</si>
  <si>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</si>
  <si>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</si>
  <si>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</si>
  <si>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</si>
  <si>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</si>
  <si>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</si>
  <si>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</si>
  <si>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</si>
  <si>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</si>
  <si>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</si>
  <si>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</si>
  <si>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</si>
  <si>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</si>
  <si>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</si>
  <si>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</si>
  <si>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</si>
  <si>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</si>
  <si>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</si>
  <si>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</si>
  <si>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</si>
  <si>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</si>
  <si>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</si>
  <si>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</si>
  <si>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</si>
  <si>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</si>
  <si>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</si>
  <si>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</si>
  <si>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</si>
  <si>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</si>
  <si>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</si>
  <si>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</si>
  <si>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</si>
  <si>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</si>
  <si>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</si>
  <si>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</si>
  <si>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</si>
  <si>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</si>
  <si>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</si>
  <si>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</si>
  <si>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</si>
  <si>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</si>
  <si>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</si>
  <si>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</si>
  <si>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</si>
  <si>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</si>
  <si>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</si>
  <si>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</si>
  <si>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</si>
  <si>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</si>
  <si>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</si>
  <si>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</si>
  <si>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</si>
  <si>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</si>
  <si>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</si>
  <si>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</si>
  <si>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</si>
  <si>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</si>
  <si>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</si>
  <si>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</si>
  <si>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</si>
  <si>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</si>
  <si>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</si>
  <si>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</si>
  <si>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</si>
  <si>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</si>
  <si>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</si>
  <si>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</si>
  <si>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</si>
  <si>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</si>
  <si>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</si>
  <si>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</si>
  <si>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</si>
  <si>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</si>
  <si>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</si>
  <si>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</si>
  <si>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</si>
  <si>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</si>
  <si>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</si>
  <si>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</si>
  <si>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</si>
  <si>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</si>
  <si>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</si>
  <si>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</si>
  <si>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</si>
  <si>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</si>
  <si>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</si>
  <si>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</si>
  <si>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</si>
  <si>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</si>
  <si>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</si>
  <si>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</si>
  <si>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</si>
  <si>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</si>
  <si>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</si>
  <si>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</si>
  <si>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</si>
  <si>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</si>
  <si>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</si>
  <si>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</si>
  <si>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</si>
  <si>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</si>
  <si>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</si>
  <si>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</si>
  <si>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</si>
  <si>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</si>
  <si>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</si>
  <si>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</si>
  <si>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</si>
  <si>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</si>
  <si>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</si>
  <si>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</si>
  <si>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</si>
  <si>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</si>
  <si>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</si>
  <si>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</si>
  <si>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</si>
  <si>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</si>
  <si>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</si>
  <si>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</si>
  <si>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</si>
  <si>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</si>
  <si>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</si>
  <si>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</si>
  <si>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</si>
  <si>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</si>
  <si>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</si>
  <si>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</si>
  <si>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</si>
  <si>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</si>
  <si>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</si>
  <si>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</si>
  <si>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</si>
  <si>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</si>
  <si>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</si>
  <si>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</si>
  <si>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</si>
  <si>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</si>
  <si>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</si>
  <si>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</si>
  <si>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</si>
  <si>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</si>
  <si>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</si>
  <si>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</si>
  <si>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</si>
  <si>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</si>
  <si>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</si>
  <si>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</si>
  <si>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</si>
  <si>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</si>
  <si>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</si>
  <si>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</si>
  <si>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</si>
  <si>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</si>
  <si>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</si>
  <si>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</si>
  <si>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</si>
  <si>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</si>
  <si>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</si>
  <si>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</si>
  <si>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</si>
  <si>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</si>
  <si>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</si>
  <si>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</si>
  <si>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</si>
  <si>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</si>
  <si>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</si>
  <si>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</si>
  <si>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</si>
  <si>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</si>
  <si>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</si>
  <si>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</si>
  <si>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</si>
  <si>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</si>
  <si>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</si>
  <si>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</si>
  <si>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</si>
  <si>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</si>
  <si>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</si>
  <si>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</si>
  <si>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</si>
  <si>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</si>
  <si>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</si>
  <si>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</si>
  <si>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</si>
  <si>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</si>
  <si>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</si>
  <si>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</si>
  <si>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</si>
  <si>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</si>
  <si>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</si>
  <si>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</si>
  <si>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</si>
  <si>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</si>
  <si>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</si>
  <si>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</si>
  <si>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</si>
  <si>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</si>
  <si>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</si>
  <si>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</si>
  <si>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</si>
  <si>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</si>
  <si>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</si>
  <si>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</si>
  <si>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</si>
  <si>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</si>
  <si>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</si>
  <si>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</si>
  <si>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</si>
  <si>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</si>
  <si>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</si>
  <si>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</si>
  <si>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</si>
  <si>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</si>
  <si>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</si>
  <si>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</si>
  <si>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</si>
  <si>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</si>
  <si>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</si>
  <si>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</si>
  <si>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</si>
  <si>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</si>
  <si>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</si>
  <si>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</si>
  <si>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</si>
  <si>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</si>
  <si>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</si>
  <si>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</si>
  <si>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</si>
  <si>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</si>
  <si>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</si>
  <si>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</si>
  <si>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</si>
  <si>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</si>
  <si>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</si>
  <si>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</si>
  <si>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</si>
  <si>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</si>
  <si>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</si>
  <si>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</si>
  <si>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</si>
  <si>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</si>
  <si>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</si>
  <si>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</si>
  <si>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</si>
  <si>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</si>
  <si>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</si>
  <si>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</si>
  <si>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</si>
  <si>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</si>
  <si>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</si>
  <si>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</si>
  <si>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</si>
  <si>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</si>
  <si>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</si>
  <si>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</si>
  <si>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</si>
  <si>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</si>
  <si>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</si>
  <si>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</si>
  <si>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</si>
  <si>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</si>
  <si>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</si>
  <si>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</si>
  <si>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</si>
  <si>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</si>
  <si>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</si>
  <si>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</si>
  <si>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</si>
  <si>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</si>
  <si>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</si>
  <si>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</si>
  <si>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</si>
  <si>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</si>
  <si>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</si>
  <si>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</si>
  <si>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</si>
  <si>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</si>
  <si>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</si>
  <si>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</si>
  <si>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</si>
  <si>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</si>
  <si>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</si>
  <si>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</si>
  <si>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</si>
  <si>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</si>
  <si>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</si>
  <si>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</si>
  <si>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</si>
  <si>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</si>
  <si>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</si>
  <si>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</si>
  <si>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</si>
  <si>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</si>
  <si>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</si>
  <si>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</si>
  <si>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</si>
  <si>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</si>
  <si>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</si>
  <si>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</si>
  <si>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</si>
  <si>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</si>
  <si>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</si>
  <si>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</si>
  <si>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</si>
  <si>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</si>
  <si>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</si>
  <si>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</si>
  <si>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</si>
  <si>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</si>
  <si>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</si>
  <si>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</si>
  <si>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</si>
  <si>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</si>
  <si>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</si>
  <si>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</si>
  <si>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</si>
  <si>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</si>
  <si>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</si>
  <si>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</si>
  <si>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</si>
  <si>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</si>
  <si>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</si>
  <si>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</si>
  <si>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</si>
  <si>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</si>
  <si>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</si>
  <si>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</si>
  <si>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</si>
  <si>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</si>
  <si>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</si>
  <si>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</si>
  <si>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</si>
  <si>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</si>
  <si>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</si>
  <si>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</si>
  <si>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</si>
  <si>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</si>
  <si>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</si>
  <si>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</si>
  <si>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</si>
  <si>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</si>
  <si>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</si>
  <si>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</si>
  <si>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</si>
  <si>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</si>
  <si>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</si>
  <si>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</si>
  <si>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</si>
  <si>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</si>
  <si>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</si>
  <si>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</si>
  <si>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</si>
  <si>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</si>
  <si>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</si>
  <si>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</si>
  <si>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</si>
  <si>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</si>
  <si>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</si>
  <si>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</si>
  <si>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</si>
  <si>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</si>
  <si>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</si>
  <si>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</si>
  <si>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</si>
  <si>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</si>
  <si>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</si>
  <si>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</si>
  <si>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</si>
  <si>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</si>
  <si>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</si>
  <si>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</si>
  <si>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</si>
  <si>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</si>
  <si>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</si>
  <si>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</si>
  <si>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</si>
  <si>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</si>
  <si>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</si>
  <si>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</si>
  <si>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</si>
  <si>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</si>
  <si>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</si>
  <si>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</si>
  <si>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</si>
  <si>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</si>
  <si>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</si>
  <si>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</si>
  <si>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</si>
  <si>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</si>
  <si>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</si>
  <si>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</si>
  <si>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</si>
  <si>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</si>
  <si>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</si>
  <si>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</si>
  <si>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</si>
  <si>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</si>
  <si>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</si>
  <si>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</si>
  <si>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</si>
  <si>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</si>
  <si>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</si>
  <si>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</si>
  <si>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</si>
  <si>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</si>
  <si>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</si>
  <si>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</si>
  <si>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</si>
  <si>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</si>
  <si>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</si>
  <si>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</si>
  <si>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</si>
  <si>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</si>
  <si>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</si>
  <si>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</si>
  <si>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</si>
  <si>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</si>
  <si>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</si>
  <si>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</si>
  <si>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</si>
  <si>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</si>
  <si>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</si>
  <si>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</si>
  <si>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</si>
  <si>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</si>
  <si>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</si>
  <si>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</si>
  <si>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</si>
  <si>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</si>
  <si>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</si>
  <si>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</si>
  <si>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</si>
  <si>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</si>
  <si>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</si>
  <si>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</si>
  <si>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</si>
  <si>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</si>
  <si>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</si>
  <si>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</si>
  <si>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</si>
  <si>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</si>
  <si>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</si>
  <si>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</si>
  <si>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</si>
  <si>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</si>
  <si>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</si>
  <si>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</si>
  <si>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</si>
  <si>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</si>
  <si>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</si>
  <si>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</si>
  <si>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</si>
  <si>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</si>
  <si>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</si>
  <si>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</si>
  <si>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</si>
  <si>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</si>
  <si>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</si>
  <si>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</si>
  <si>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</si>
  <si>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</si>
  <si>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</si>
  <si>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</si>
  <si>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</si>
  <si>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</si>
  <si>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</si>
  <si>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</si>
  <si>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</si>
  <si>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</si>
  <si>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</si>
  <si>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</si>
  <si>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</si>
  <si>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</si>
  <si>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</si>
  <si>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</si>
  <si>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</si>
  <si>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</si>
  <si>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</si>
  <si>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</si>
  <si>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</si>
  <si>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</si>
  <si>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</si>
  <si>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</si>
  <si>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</si>
  <si>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</si>
  <si>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</si>
  <si>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</si>
  <si>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</si>
  <si>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</si>
  <si>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</si>
  <si>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</si>
  <si>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</si>
  <si>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</si>
  <si>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</si>
  <si>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</si>
  <si>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</si>
  <si>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</si>
  <si>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</si>
  <si>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</si>
  <si>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</si>
  <si>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</si>
  <si>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</si>
  <si>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</si>
  <si>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</si>
  <si>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</si>
  <si>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</si>
  <si>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</si>
  <si>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</si>
  <si>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</si>
  <si>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</si>
  <si>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</si>
  <si>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</si>
  <si>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</si>
  <si>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</si>
  <si>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</si>
  <si>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</si>
  <si>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</si>
  <si>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</si>
  <si>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</si>
  <si>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</si>
  <si>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</si>
  <si>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</si>
  <si>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</si>
  <si>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</si>
  <si>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</si>
  <si>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</si>
  <si>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</si>
  <si>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</si>
  <si>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</si>
  <si>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</si>
  <si>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</si>
  <si>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</si>
  <si>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</si>
  <si>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</si>
  <si>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</si>
  <si>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</si>
  <si>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</si>
  <si>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</si>
  <si>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</si>
  <si>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</si>
  <si>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</si>
  <si>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</si>
  <si>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</si>
  <si>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</si>
  <si>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</si>
  <si>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</si>
  <si>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</si>
  <si>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</si>
  <si>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</si>
  <si>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</si>
  <si>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</si>
  <si>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</si>
  <si>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</si>
  <si>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</si>
  <si>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</si>
  <si>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</si>
  <si>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</si>
  <si>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</si>
  <si>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</si>
  <si>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</si>
  <si>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</si>
  <si>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</si>
  <si>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</si>
  <si>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</si>
  <si>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</si>
  <si>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</si>
  <si>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</si>
  <si>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</si>
  <si>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</si>
  <si>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</si>
  <si>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</si>
  <si>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</si>
  <si>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</si>
  <si>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</si>
  <si>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</si>
  <si>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</si>
  <si>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</si>
  <si>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</si>
  <si>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</si>
  <si>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</si>
  <si>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</si>
  <si>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</si>
  <si>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</si>
  <si>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</si>
  <si>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</si>
  <si>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</si>
  <si>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</si>
  <si>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</si>
  <si>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</si>
  <si>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</si>
  <si>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</si>
  <si>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</si>
  <si>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</si>
  <si>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</si>
  <si>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</si>
  <si>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</si>
  <si>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</si>
  <si>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</si>
  <si>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</si>
  <si>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</si>
  <si>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</si>
  <si>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</si>
  <si>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</si>
  <si>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</si>
  <si>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</si>
  <si>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</si>
  <si>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</si>
  <si>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</si>
  <si>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</si>
  <si>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</si>
  <si>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</si>
  <si>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</si>
  <si>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</si>
  <si>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</si>
  <si>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</si>
  <si>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</si>
  <si>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</si>
  <si>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</si>
  <si>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</si>
  <si>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</si>
  <si>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</si>
  <si>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</si>
  <si>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</si>
  <si>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</si>
  <si>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</si>
  <si>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</si>
  <si>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</si>
  <si>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</si>
  <si>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</si>
  <si>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</si>
  <si>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</si>
  <si>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</si>
  <si>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</si>
  <si>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</si>
  <si>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</si>
  <si>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</si>
  <si>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</si>
  <si>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</si>
  <si>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</si>
  <si>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</si>
  <si>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</si>
  <si>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</si>
  <si>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</si>
  <si>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</si>
  <si>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</si>
  <si>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</si>
  <si>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</si>
  <si>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</si>
  <si>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</si>
  <si>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</si>
  <si>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</si>
  <si>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</si>
  <si>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</si>
  <si>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</si>
  <si>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</si>
  <si>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</si>
  <si>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</si>
  <si>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</si>
  <si>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</si>
  <si>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</si>
  <si>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</si>
  <si>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</si>
  <si>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</si>
  <si>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</si>
  <si>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</si>
  <si>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</si>
  <si>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</si>
  <si>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</si>
  <si>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</si>
  <si>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</si>
  <si>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</si>
  <si>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</si>
  <si>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</si>
  <si>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</si>
  <si>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</si>
  <si>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</si>
  <si>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</si>
  <si>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</si>
  <si>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</si>
  <si>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</si>
  <si>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</si>
  <si>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</si>
  <si>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</si>
  <si>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</si>
  <si>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</si>
  <si>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</si>
  <si>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</si>
  <si>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</si>
  <si>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</si>
  <si>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</si>
  <si>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</si>
  <si>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</si>
  <si>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</si>
  <si>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</si>
  <si>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</si>
  <si>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</si>
  <si>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</si>
  <si>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</si>
  <si>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</si>
  <si>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</si>
  <si>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</si>
  <si>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</si>
  <si>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</si>
  <si>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</si>
  <si>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</si>
  <si>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</si>
  <si>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</si>
  <si>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</si>
  <si>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</si>
  <si>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</si>
  <si>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</si>
  <si>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</si>
  <si>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</si>
  <si>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</si>
  <si>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</si>
  <si>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</si>
  <si>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</si>
  <si>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</si>
  <si>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</si>
  <si>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</si>
  <si>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</si>
  <si>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</si>
  <si>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</si>
  <si>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</si>
  <si>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</si>
  <si>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</si>
  <si>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</si>
  <si>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</si>
  <si>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</si>
  <si>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</si>
  <si>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</si>
  <si>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</si>
  <si>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</si>
  <si>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</si>
  <si>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</si>
  <si>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</si>
  <si>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</si>
  <si>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</si>
  <si>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</si>
  <si>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</si>
  <si>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</si>
  <si>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</si>
  <si>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</si>
  <si>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</si>
  <si>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</si>
  <si>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</si>
  <si>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</si>
  <si>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</si>
  <si>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</si>
  <si>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</si>
  <si>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</si>
  <si>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</si>
  <si>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</si>
  <si>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</si>
  <si>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</si>
  <si>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</si>
  <si>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</si>
  <si>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</si>
  <si>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</si>
  <si>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</si>
  <si>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</si>
  <si>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</si>
  <si>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</si>
  <si>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</si>
  <si>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</si>
  <si>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</si>
  <si>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</si>
  <si>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</si>
  <si>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</si>
  <si>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</si>
  <si>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</si>
  <si>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</si>
  <si>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</si>
  <si>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</si>
  <si>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</si>
  <si>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</si>
  <si>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</si>
  <si>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</si>
  <si>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</si>
  <si>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</si>
  <si>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</si>
  <si>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</si>
  <si>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</si>
  <si>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</si>
  <si>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</si>
  <si>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</si>
  <si>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</si>
  <si>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</si>
  <si>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</si>
  <si>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</si>
  <si>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</si>
  <si>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</si>
  <si>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</si>
  <si>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</si>
  <si>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</si>
  <si>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</si>
  <si>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</si>
  <si>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</si>
  <si>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</si>
  <si>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</si>
  <si>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</si>
  <si>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</si>
  <si>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</si>
  <si>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</si>
  <si>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</si>
  <si>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</si>
  <si>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</si>
  <si>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</si>
  <si>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</si>
  <si>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</si>
  <si>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</si>
  <si>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</si>
  <si>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</si>
  <si>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</si>
  <si>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</si>
  <si>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</si>
  <si>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</si>
  <si>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</si>
  <si>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</si>
  <si>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</si>
  <si>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</si>
  <si>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</si>
  <si>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</si>
  <si>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</si>
  <si>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</si>
  <si>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</si>
  <si>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</si>
  <si>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</si>
  <si>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</si>
  <si>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</si>
  <si>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</si>
  <si>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</si>
  <si>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</si>
  <si>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</si>
  <si>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</si>
  <si>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</si>
  <si>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</si>
  <si>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</si>
  <si>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</si>
  <si>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</si>
  <si>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</si>
  <si>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</si>
  <si>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</si>
  <si>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</si>
  <si>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</si>
  <si>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</si>
  <si>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</si>
  <si>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</si>
  <si>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</si>
  <si>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</si>
  <si>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</si>
  <si>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</si>
  <si>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</si>
  <si>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</si>
  <si>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</si>
  <si>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</si>
  <si>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</si>
  <si>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</si>
  <si>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</si>
  <si>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</si>
  <si>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</si>
  <si>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</si>
  <si>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</si>
  <si>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</si>
  <si>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</si>
  <si>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</si>
  <si>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</si>
  <si>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</si>
  <si>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</si>
  <si>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</si>
  <si>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</si>
  <si>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</si>
  <si>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</si>
  <si>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</si>
  <si>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</si>
  <si>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</si>
  <si>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</si>
  <si>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</si>
  <si>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</si>
  <si>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</si>
  <si>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</si>
  <si>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</si>
  <si>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</si>
  <si>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</si>
  <si>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</si>
  <si>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</si>
  <si>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</si>
  <si>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</si>
  <si>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</si>
  <si>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</si>
  <si>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</si>
  <si>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</si>
  <si>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</si>
  <si>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</si>
  <si>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</si>
  <si>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</si>
  <si>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</si>
  <si>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</si>
  <si>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</si>
  <si>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</si>
  <si>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</si>
  <si>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</si>
  <si>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</si>
  <si>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</si>
  <si>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</si>
  <si>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</si>
  <si>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</si>
  <si>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</si>
  <si>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</si>
  <si>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</si>
  <si>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</si>
  <si>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</si>
  <si>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</si>
  <si>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</si>
  <si>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</si>
  <si>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</si>
  <si>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</si>
  <si>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</si>
  <si>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</si>
  <si>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</si>
  <si>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</si>
  <si>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</si>
  <si>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</si>
  <si>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</si>
  <si>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</si>
  <si>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</si>
  <si>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</si>
  <si>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</si>
  <si>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</si>
  <si>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</si>
  <si>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</si>
  <si>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</si>
  <si>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</si>
  <si>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</si>
  <si>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</si>
  <si>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</si>
  <si>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</si>
  <si>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</si>
  <si>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</si>
  <si>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</si>
  <si>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</si>
  <si>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</si>
  <si>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</si>
  <si>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</si>
  <si>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</si>
  <si>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</si>
  <si>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</si>
  <si>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</si>
  <si>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</si>
  <si>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</si>
  <si>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</si>
  <si>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</si>
  <si>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</si>
  <si>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</si>
  <si>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</si>
  <si>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</si>
  <si>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</si>
  <si>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</si>
  <si>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</si>
  <si>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</si>
  <si>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</si>
  <si>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</si>
  <si>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</si>
  <si>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</si>
  <si>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</si>
  <si>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</si>
  <si>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</si>
  <si>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</si>
  <si>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</si>
  <si>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</si>
  <si>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</si>
  <si>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</si>
  <si>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</si>
  <si>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</si>
  <si>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</si>
  <si>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</si>
  <si>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</si>
  <si>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</si>
  <si>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</si>
  <si>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</si>
  <si>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</si>
  <si>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</si>
  <si>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</si>
  <si>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</si>
  <si>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</si>
  <si>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</si>
  <si>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</si>
  <si>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</si>
  <si>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</si>
  <si>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</si>
  <si>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</si>
  <si>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</si>
  <si>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</si>
  <si>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</si>
  <si>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</si>
  <si>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</si>
  <si>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</si>
  <si>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</si>
  <si>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</si>
  <si>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</si>
  <si>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</si>
  <si>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</si>
  <si>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</si>
  <si>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</si>
  <si>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</si>
  <si>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</si>
  <si>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</si>
  <si>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</si>
  <si>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</si>
  <si>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</si>
  <si>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</si>
  <si>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</si>
  <si>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</si>
  <si>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</si>
  <si>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</si>
  <si>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</si>
  <si>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</si>
  <si>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</si>
  <si>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</si>
  <si>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</si>
  <si>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</si>
  <si>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</si>
  <si>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</si>
  <si>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</si>
  <si>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</si>
  <si>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</si>
  <si>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</si>
  <si>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</si>
  <si>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</si>
  <si>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</si>
  <si>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</si>
  <si>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</si>
  <si>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</si>
  <si>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</si>
  <si>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</si>
  <si>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</si>
  <si>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</si>
  <si>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</si>
  <si>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</si>
  <si>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</si>
  <si>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</si>
  <si>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</si>
  <si>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</si>
  <si>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</si>
  <si>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</si>
  <si>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</si>
  <si>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</si>
  <si>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</si>
  <si>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</si>
  <si>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</si>
  <si>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</si>
  <si>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</si>
  <si>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</si>
  <si>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</si>
  <si>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</si>
  <si>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</si>
  <si>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</si>
  <si>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</si>
  <si>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</si>
  <si>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</si>
  <si>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</si>
  <si>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</si>
  <si>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</si>
  <si>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</si>
  <si>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</si>
  <si>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</si>
  <si>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</si>
  <si>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</si>
  <si>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</si>
  <si>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</si>
  <si>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</si>
  <si>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</si>
  <si>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</si>
  <si>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</si>
  <si>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</si>
  <si>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</si>
  <si>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</si>
  <si>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</si>
  <si>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</si>
  <si>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</si>
  <si>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</si>
  <si>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</si>
  <si>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</si>
  <si>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</si>
  <si>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</si>
  <si>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</si>
  <si>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</si>
  <si>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</si>
  <si>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</si>
  <si>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</si>
  <si>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</si>
  <si>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</si>
  <si>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</si>
  <si>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</si>
  <si>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</si>
  <si>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</si>
  <si>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</si>
  <si>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</si>
  <si>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</si>
  <si>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</si>
  <si>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</si>
  <si>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</si>
  <si>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</si>
  <si>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</si>
  <si>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</si>
  <si>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</si>
  <si>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</si>
  <si>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</si>
  <si>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</si>
  <si>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</si>
  <si>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</si>
  <si>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</si>
  <si>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</si>
  <si>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</si>
  <si>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</si>
  <si>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</si>
  <si>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</si>
  <si>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</si>
  <si>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</si>
  <si>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</si>
  <si>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</si>
  <si>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</si>
  <si>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</si>
  <si>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</si>
  <si>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</si>
  <si>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</si>
  <si>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</si>
  <si>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</si>
  <si>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</si>
  <si>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</si>
  <si>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</si>
  <si>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</si>
  <si>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</si>
  <si>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</si>
  <si>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</si>
  <si>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</si>
  <si>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</si>
  <si>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</si>
  <si>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</si>
  <si>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</si>
  <si>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</si>
  <si>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</si>
  <si>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</si>
  <si>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</si>
  <si>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</si>
  <si>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</si>
  <si>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</si>
  <si>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</si>
  <si>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</si>
  <si>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</si>
  <si>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</si>
  <si>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</si>
  <si>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</si>
  <si>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</si>
  <si>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</si>
  <si>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</si>
  <si>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</si>
  <si>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</si>
  <si>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</si>
  <si>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</si>
  <si>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</si>
  <si>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</si>
  <si>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</si>
  <si>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</si>
  <si>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</si>
  <si>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</si>
  <si>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</si>
  <si>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</si>
  <si>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</si>
  <si>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</si>
  <si>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</si>
  <si>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</si>
  <si>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</si>
  <si>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</si>
  <si>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</si>
  <si>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</si>
  <si>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</si>
  <si>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</si>
  <si>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</si>
  <si>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</si>
  <si>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</si>
  <si>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</si>
  <si>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</si>
  <si>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</si>
  <si>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</si>
  <si>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</si>
  <si>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</si>
  <si>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</si>
  <si>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</si>
  <si>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</si>
  <si>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</si>
  <si>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</si>
  <si>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</si>
  <si>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</si>
  <si>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</si>
  <si>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</si>
  <si>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</si>
  <si>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</si>
  <si>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</si>
  <si>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</si>
  <si>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</si>
  <si>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</si>
  <si>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</si>
  <si>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</si>
  <si>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</si>
  <si>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</si>
  <si>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</si>
  <si>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</si>
  <si>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</si>
  <si>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</si>
  <si>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</si>
  <si>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</si>
  <si>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</si>
  <si>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</si>
  <si>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</si>
  <si>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</si>
  <si>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</si>
  <si>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</si>
  <si>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</si>
  <si>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</si>
  <si>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</si>
  <si>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</si>
  <si>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</si>
  <si>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</si>
  <si>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</si>
  <si>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</si>
  <si>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</si>
  <si>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</si>
  <si>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</si>
  <si>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</si>
  <si>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</si>
  <si>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</si>
  <si>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</si>
  <si>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</si>
  <si>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</si>
  <si>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</si>
  <si>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</si>
  <si>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</si>
  <si>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</si>
  <si>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</si>
  <si>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</si>
  <si>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</si>
  <si>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</si>
  <si>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</si>
  <si>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</si>
  <si>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</si>
  <si>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</si>
  <si>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</si>
  <si>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</si>
  <si>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</si>
  <si>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</si>
  <si>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</si>
  <si>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</si>
  <si>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</si>
  <si>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</si>
  <si>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</si>
  <si>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</si>
  <si>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</si>
  <si>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</si>
  <si>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</si>
  <si>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</si>
  <si>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</si>
  <si>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</si>
  <si>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</si>
  <si>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</si>
  <si>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</si>
  <si>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</si>
  <si>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</si>
  <si>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</si>
  <si>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</si>
  <si>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</si>
  <si>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</si>
  <si>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</si>
  <si>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</si>
  <si>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</si>
  <si>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</si>
  <si>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</si>
  <si>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</si>
  <si>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</si>
  <si>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</si>
  <si>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</si>
  <si>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</si>
  <si>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</si>
  <si>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</si>
  <si>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</si>
  <si>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</si>
  <si>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</si>
  <si>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</si>
  <si>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</si>
  <si>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</si>
  <si>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</si>
  <si>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</si>
  <si>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</si>
  <si>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</si>
  <si>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</si>
  <si>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</si>
  <si>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</si>
  <si>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</si>
  <si>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</si>
  <si>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</si>
  <si>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</si>
  <si>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</si>
  <si>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</si>
  <si>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</si>
  <si>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</si>
  <si>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</si>
  <si>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</si>
  <si>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</si>
  <si>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</si>
  <si>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</si>
  <si>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</si>
  <si>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</si>
  <si>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</si>
  <si>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</si>
  <si>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</si>
  <si>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</si>
  <si>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</si>
  <si>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</si>
  <si>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</si>
  <si>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</si>
  <si>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</si>
  <si>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</si>
  <si>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</si>
  <si>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</si>
  <si>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</si>
  <si>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</si>
  <si>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</si>
  <si>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</si>
  <si>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</si>
  <si>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</si>
  <si>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</si>
  <si>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</si>
  <si>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</si>
  <si>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</si>
  <si>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</si>
  <si>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</si>
  <si>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</si>
  <si>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</si>
  <si>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</si>
  <si>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</si>
  <si>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</si>
  <si>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</si>
  <si>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</si>
  <si>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</si>
  <si>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</si>
  <si>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</si>
  <si>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</si>
  <si>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</si>
  <si>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</si>
  <si>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</si>
  <si>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</si>
  <si>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</si>
  <si>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</si>
  <si>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</si>
  <si>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</si>
  <si>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</si>
  <si>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</si>
  <si>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</si>
  <si>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</si>
  <si>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</si>
  <si>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</si>
  <si>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</si>
  <si>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</si>
  <si>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</si>
  <si>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</si>
  <si>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</si>
  <si>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</si>
  <si>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</si>
  <si>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</si>
  <si>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</si>
  <si>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</si>
  <si>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</si>
  <si>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</si>
  <si>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</si>
  <si>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</si>
  <si>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</si>
  <si>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</si>
  <si>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</si>
  <si>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</si>
  <si>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</si>
  <si>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</si>
  <si>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</si>
  <si>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</si>
  <si>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</si>
  <si>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</si>
  <si>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</si>
  <si>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</si>
  <si>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</si>
  <si>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</si>
  <si>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</si>
  <si>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</si>
  <si>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</si>
  <si>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</si>
  <si>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</si>
  <si>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</si>
  <si>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</si>
  <si>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</si>
  <si>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</si>
  <si>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</si>
  <si>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</si>
  <si>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</si>
  <si>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</si>
  <si>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</si>
  <si>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</si>
  <si>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</si>
  <si>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</si>
  <si>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</si>
  <si>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</si>
  <si>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</si>
  <si>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</si>
  <si>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</si>
  <si>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</si>
  <si>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</si>
  <si>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</si>
  <si>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</si>
  <si>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</si>
  <si>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</si>
  <si>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</si>
  <si>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</si>
  <si>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</si>
  <si>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</si>
  <si>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</si>
  <si>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</si>
  <si>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</si>
  <si>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</si>
  <si>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</si>
  <si>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</si>
  <si>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</si>
  <si>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</si>
  <si>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</si>
  <si>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</si>
  <si>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</si>
  <si>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</si>
  <si>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</si>
  <si>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</si>
  <si>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</si>
  <si>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</si>
  <si>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</si>
  <si>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</si>
  <si>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</si>
  <si>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</si>
  <si>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</si>
  <si>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</si>
  <si>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</si>
  <si>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</si>
  <si>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</si>
  <si>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</si>
  <si>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</si>
  <si>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</si>
  <si>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</si>
  <si>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</si>
  <si>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</si>
  <si>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</si>
  <si>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</si>
  <si>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</si>
  <si>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</si>
  <si>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</si>
  <si>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</si>
  <si>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</si>
  <si>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</si>
  <si>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</si>
  <si>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</si>
  <si>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</si>
  <si>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</si>
  <si>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</si>
  <si>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</si>
  <si>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</si>
  <si>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</si>
  <si>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</si>
  <si>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</si>
  <si>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</si>
  <si>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</si>
  <si>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</si>
  <si>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</si>
  <si>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</si>
  <si>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</si>
  <si>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</si>
  <si>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</si>
  <si>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</si>
  <si>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</si>
  <si>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</si>
  <si>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</si>
  <si>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</si>
  <si>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</si>
  <si>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</si>
  <si>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</si>
  <si>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</si>
  <si>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</si>
  <si>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</si>
  <si>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</si>
  <si>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</si>
  <si>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</si>
  <si>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</si>
  <si>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</si>
  <si>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</si>
  <si>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</si>
  <si>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</si>
  <si>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</si>
  <si>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</si>
  <si>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</si>
  <si>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</si>
  <si>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</si>
  <si>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</si>
  <si>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</si>
  <si>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</si>
  <si>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</si>
  <si>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</si>
  <si>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</si>
  <si>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</si>
  <si>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</si>
  <si>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</si>
  <si>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</si>
  <si>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</si>
  <si>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</si>
  <si>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</si>
  <si>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</si>
  <si>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</si>
  <si>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</si>
  <si>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</si>
  <si>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</si>
  <si>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</si>
  <si>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</si>
  <si>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</si>
  <si>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</si>
  <si>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</si>
  <si>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</si>
  <si>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</si>
  <si>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</si>
  <si>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</si>
  <si>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</si>
  <si>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</si>
  <si>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</si>
  <si>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</si>
  <si>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</si>
  <si>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</si>
  <si>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</si>
  <si>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</si>
  <si>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</si>
  <si>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</si>
  <si>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</si>
  <si>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</si>
  <si>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</si>
  <si>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</si>
  <si>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</si>
  <si>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</si>
  <si>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</si>
  <si>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</si>
  <si>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</si>
  <si>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</si>
  <si>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</si>
  <si>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</si>
  <si>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</si>
  <si>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</si>
  <si>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</si>
  <si>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</si>
  <si>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</si>
  <si>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</si>
  <si>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</si>
  <si>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</si>
  <si>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</si>
  <si>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</si>
  <si>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</si>
  <si>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</si>
  <si>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</si>
  <si>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</si>
  <si>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</si>
  <si>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</si>
  <si>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</si>
  <si>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</si>
  <si>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</si>
  <si>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</si>
  <si>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</si>
  <si>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</si>
  <si>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</si>
  <si>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</si>
  <si>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</si>
  <si>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</si>
  <si>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</si>
  <si>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</si>
  <si>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</si>
  <si>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</si>
  <si>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</si>
  <si>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</si>
  <si>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</si>
  <si>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</si>
  <si>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</si>
  <si>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</si>
  <si>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</si>
  <si>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</si>
  <si>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</si>
  <si>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</si>
  <si>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</si>
  <si>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</si>
  <si>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</si>
  <si>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</si>
  <si>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</si>
  <si>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</si>
  <si>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</si>
  <si>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</si>
  <si>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</si>
  <si>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</si>
  <si>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</si>
  <si>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</si>
  <si>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</si>
  <si>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</si>
  <si>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</si>
  <si>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</si>
  <si>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</si>
  <si>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</si>
  <si>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</si>
  <si>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</si>
  <si>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</si>
  <si>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</si>
  <si>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</si>
  <si>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</si>
  <si>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</si>
  <si>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</si>
  <si>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</si>
  <si>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</si>
  <si>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</si>
  <si>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</si>
  <si>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</si>
  <si>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</si>
  <si>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</si>
  <si>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</si>
  <si>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</si>
  <si>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</si>
  <si>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</si>
  <si>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</si>
  <si>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</si>
  <si>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</si>
  <si>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</si>
  <si>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</si>
  <si>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</si>
  <si>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</si>
  <si>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</si>
  <si>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</si>
  <si>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</si>
  <si>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</si>
  <si>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</si>
  <si>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</si>
  <si>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</si>
  <si>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</si>
  <si>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</si>
  <si>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</si>
  <si>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</si>
  <si>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</si>
  <si>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</si>
  <si>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</si>
  <si>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</si>
  <si>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</si>
  <si>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</si>
  <si>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</si>
  <si>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</si>
  <si>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</si>
  <si>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</si>
  <si>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</si>
  <si>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</si>
  <si>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</si>
  <si>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</si>
  <si>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</si>
  <si>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</si>
  <si>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</si>
  <si>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</si>
  <si>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</si>
  <si>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</si>
  <si>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</si>
  <si>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</si>
  <si>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</si>
  <si>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</si>
  <si>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</si>
  <si>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</si>
  <si>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</si>
  <si>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</si>
  <si>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</si>
  <si>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</si>
  <si>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</si>
  <si>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</si>
  <si>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</si>
  <si>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</si>
  <si>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</si>
  <si>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</si>
  <si>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</si>
  <si>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</si>
  <si>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</si>
  <si>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</si>
  <si>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</si>
  <si>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</si>
  <si>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</si>
  <si>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</si>
  <si>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</si>
  <si>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</si>
  <si>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</si>
  <si>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</si>
  <si>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</si>
  <si>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</si>
  <si>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</si>
  <si>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</si>
  <si>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</si>
  <si>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</si>
  <si>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</si>
  <si>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</si>
  <si>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</si>
  <si>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</si>
  <si>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</si>
  <si>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</si>
  <si>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</si>
  <si>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</si>
  <si>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</si>
  <si>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</si>
  <si>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</si>
  <si>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</si>
  <si>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</si>
  <si>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</si>
  <si>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</si>
  <si>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</si>
  <si>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</si>
  <si>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</si>
  <si>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</si>
  <si>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</si>
  <si>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</si>
  <si>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</si>
  <si>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</si>
  <si>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</si>
  <si>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</si>
  <si>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</si>
  <si>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</si>
  <si>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</si>
  <si>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</si>
  <si>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</si>
  <si>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</si>
  <si>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</si>
  <si>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</si>
  <si>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</si>
  <si>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</si>
  <si>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</si>
  <si>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</si>
  <si>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</si>
  <si>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</si>
  <si>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</si>
  <si>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</si>
  <si>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</si>
  <si>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</si>
  <si>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</si>
  <si>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</si>
  <si>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</si>
  <si>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</si>
  <si>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</si>
  <si>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</si>
  <si>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</si>
  <si>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</si>
  <si>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</si>
  <si>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</si>
  <si>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</si>
  <si>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</si>
  <si>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</si>
  <si>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</si>
  <si>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</si>
  <si>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</si>
  <si>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</si>
  <si>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</si>
  <si>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</si>
  <si>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</si>
  <si>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</si>
  <si>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</si>
  <si>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</si>
  <si>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</si>
  <si>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</si>
  <si>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</si>
  <si>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</si>
  <si>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</si>
  <si>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</si>
  <si>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</si>
  <si>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</si>
  <si>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</si>
  <si>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</si>
  <si>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</si>
  <si>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</si>
  <si>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</si>
  <si>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</si>
  <si>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</si>
  <si>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</si>
  <si>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</si>
  <si>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</si>
  <si>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</si>
  <si>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</si>
  <si>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</si>
  <si>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</si>
  <si>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</si>
  <si>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</si>
  <si>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</si>
  <si>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</si>
  <si>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</si>
  <si>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</si>
  <si>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</si>
  <si>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</si>
  <si>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</si>
  <si>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</si>
  <si>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</si>
  <si>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</si>
  <si>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</si>
  <si>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</si>
  <si>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</si>
  <si>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</si>
  <si>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</si>
  <si>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</si>
  <si>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</si>
  <si>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</si>
  <si>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</si>
  <si>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</si>
  <si>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</si>
  <si>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</si>
  <si>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</si>
  <si>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</si>
  <si>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</si>
  <si>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</si>
  <si>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</si>
  <si>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</si>
  <si>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</si>
  <si>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</si>
  <si>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</si>
  <si>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</si>
  <si>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</si>
  <si>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</si>
  <si>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</si>
  <si>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</si>
  <si>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</si>
  <si>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</si>
  <si>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</si>
  <si>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</si>
  <si>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</si>
  <si>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</si>
  <si>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</si>
  <si>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</si>
  <si>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</si>
  <si>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</si>
  <si>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</si>
  <si>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</si>
  <si>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</si>
  <si>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</si>
  <si>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</si>
  <si>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</si>
  <si>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</si>
  <si>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</si>
  <si>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</si>
  <si>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</si>
  <si>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</si>
  <si>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</si>
  <si>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</si>
  <si>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</si>
  <si>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</si>
  <si>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</si>
  <si>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</si>
  <si>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</si>
  <si>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</si>
  <si>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</si>
  <si>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</si>
  <si>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</si>
  <si>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</si>
  <si>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</si>
  <si>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</si>
  <si>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</si>
  <si>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</si>
  <si>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</si>
  <si>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</si>
  <si>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</si>
  <si>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</si>
  <si>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</si>
  <si>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</si>
  <si>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</si>
  <si>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</si>
  <si>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</si>
  <si>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</si>
  <si>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</si>
  <si>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</si>
  <si>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</si>
  <si>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</si>
  <si>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</si>
  <si>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</si>
  <si>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</si>
  <si>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</si>
  <si>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</si>
  <si>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</si>
  <si>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</si>
  <si>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</si>
  <si>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</si>
  <si>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</si>
  <si>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</si>
  <si>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</si>
  <si>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</si>
  <si>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</si>
  <si>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</si>
  <si>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</si>
  <si>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</si>
  <si>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</si>
  <si>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</si>
  <si>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</si>
  <si>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</si>
  <si>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</si>
  <si>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</si>
  <si>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</si>
  <si>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</si>
  <si>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</si>
  <si>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</si>
  <si>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</si>
  <si>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</si>
  <si>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</si>
  <si>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</si>
  <si>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</si>
  <si>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</si>
  <si>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</si>
  <si>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</si>
  <si>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</si>
  <si>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</si>
  <si>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</si>
  <si>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</si>
  <si>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</si>
  <si>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</si>
  <si>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</si>
  <si>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</si>
  <si>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</si>
  <si>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</si>
  <si>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</si>
  <si>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</si>
  <si>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</si>
  <si>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</si>
  <si>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</si>
  <si>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</si>
  <si>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</si>
  <si>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</si>
  <si>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</si>
  <si>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</si>
  <si>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</si>
  <si>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</si>
  <si>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</si>
  <si>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</si>
  <si>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</si>
  <si>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</si>
  <si>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</si>
  <si>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</si>
  <si>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</si>
  <si>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</si>
  <si>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</si>
  <si>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</si>
  <si>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</si>
  <si>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</si>
  <si>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</si>
  <si>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</si>
  <si>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</si>
  <si>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</si>
  <si>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</si>
  <si>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</si>
  <si>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</si>
  <si>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</si>
  <si>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</si>
  <si>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</si>
  <si>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</si>
  <si>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</si>
  <si>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</si>
  <si>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</si>
  <si>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</si>
  <si>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</si>
  <si>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</si>
  <si>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</si>
  <si>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</si>
  <si>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</si>
  <si>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</si>
  <si>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</si>
  <si>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</si>
  <si>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</si>
  <si>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</si>
  <si>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</si>
  <si>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</si>
  <si>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</si>
  <si>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</si>
  <si>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</si>
  <si>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</si>
  <si>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</si>
  <si>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</si>
  <si>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</si>
  <si>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</si>
  <si>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</si>
  <si>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</si>
  <si>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</si>
  <si>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</si>
  <si>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</si>
  <si>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</si>
  <si>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</si>
  <si>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</si>
  <si>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</si>
  <si>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</si>
  <si>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</si>
  <si>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</si>
  <si>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</si>
  <si>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</si>
  <si>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</si>
  <si>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</si>
  <si>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</si>
  <si>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</si>
  <si>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</si>
  <si>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</si>
  <si>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</si>
  <si>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</si>
  <si>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</si>
  <si>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</si>
  <si>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</si>
  <si>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</si>
  <si>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</si>
  <si>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</si>
  <si>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</si>
  <si>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</si>
  <si>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</si>
  <si>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</si>
  <si>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</si>
  <si>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</si>
  <si>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</si>
  <si>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</si>
  <si>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</si>
  <si>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</si>
  <si>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</si>
  <si>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</si>
  <si>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</si>
  <si>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</si>
  <si>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</si>
  <si>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</si>
  <si>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</si>
  <si>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</si>
  <si>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</si>
  <si>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</si>
  <si>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</si>
  <si>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</si>
  <si>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</si>
  <si>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</si>
  <si>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</si>
  <si>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</si>
  <si>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</si>
  <si>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</si>
  <si>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</si>
  <si>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</si>
  <si>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</si>
  <si>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</si>
  <si>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</si>
  <si>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</si>
  <si>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</si>
  <si>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</si>
  <si>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</si>
  <si>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</si>
  <si>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</si>
  <si>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</si>
  <si>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</si>
  <si>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</si>
  <si>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</si>
  <si>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</si>
  <si>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</si>
  <si>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</si>
  <si>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</si>
  <si>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</si>
  <si>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</si>
  <si>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</si>
  <si>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</si>
  <si>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</si>
  <si>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</si>
  <si>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</si>
  <si>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</si>
  <si>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</si>
  <si>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</si>
  <si>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</si>
  <si>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</si>
  <si>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</si>
  <si>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</si>
  <si>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</si>
  <si>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</si>
  <si>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</si>
  <si>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</si>
  <si>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</si>
  <si>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</si>
  <si>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</si>
  <si>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</si>
  <si>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</si>
  <si>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</si>
  <si>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</si>
  <si>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</si>
  <si>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</si>
  <si>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</si>
  <si>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</si>
  <si>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</si>
  <si>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</si>
  <si>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</si>
  <si>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</si>
  <si>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</si>
  <si>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</si>
  <si>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</si>
  <si>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</si>
  <si>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</si>
  <si>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</si>
  <si>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</si>
  <si>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</si>
  <si>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</si>
  <si>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</si>
  <si>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</si>
  <si>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</si>
  <si>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</si>
  <si>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</si>
  <si>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</si>
  <si>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</si>
  <si>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</si>
  <si>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</si>
  <si>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</si>
  <si>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</si>
  <si>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</si>
  <si>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</si>
  <si>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</si>
  <si>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</si>
  <si>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</si>
  <si>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</si>
  <si>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</si>
  <si>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</si>
  <si>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</si>
  <si>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</si>
  <si>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</si>
  <si>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</si>
  <si>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</si>
  <si>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</si>
  <si>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</si>
  <si>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</si>
  <si>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</si>
  <si>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</si>
  <si>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</si>
  <si>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</si>
  <si>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</si>
  <si>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</si>
  <si>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</si>
  <si>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</si>
  <si>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</si>
  <si>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</si>
  <si>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</si>
  <si>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</si>
  <si>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</si>
  <si>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</si>
  <si>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</si>
  <si>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</si>
  <si>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</si>
  <si>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</si>
  <si>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</si>
  <si>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</si>
  <si>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</si>
  <si>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</si>
  <si>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</si>
  <si>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</si>
  <si>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</si>
  <si>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</si>
  <si>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</si>
  <si>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</si>
  <si>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</si>
  <si>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</si>
  <si>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</si>
  <si>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</si>
  <si>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</si>
  <si>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</si>
  <si>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</si>
  <si>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</si>
  <si>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</si>
  <si>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</si>
  <si>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</si>
  <si>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</si>
  <si>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</si>
  <si>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</si>
  <si>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</si>
  <si>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</si>
  <si>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</si>
  <si>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</si>
  <si>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</si>
  <si>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</si>
  <si>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</si>
  <si>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</si>
  <si>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</si>
  <si>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</si>
  <si>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</si>
  <si>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</si>
  <si>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</si>
  <si>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</si>
  <si>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</si>
  <si>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</si>
  <si>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</si>
  <si>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</si>
  <si>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</si>
  <si>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</si>
  <si>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</si>
  <si>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</si>
  <si>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</si>
  <si>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</si>
  <si>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</si>
  <si>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</si>
  <si>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</si>
  <si>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</si>
  <si>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</si>
  <si>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</si>
  <si>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</si>
  <si>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</si>
  <si>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</si>
  <si>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</si>
  <si>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</si>
  <si>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</si>
  <si>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</si>
  <si>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</si>
  <si>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</si>
  <si>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</si>
  <si>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</si>
  <si>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</si>
  <si>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</si>
  <si>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</si>
  <si>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</si>
  <si>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</si>
  <si>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</si>
  <si>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</si>
  <si>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</si>
  <si>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</si>
  <si>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</si>
  <si>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</si>
  <si>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</si>
  <si>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</si>
  <si>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</si>
  <si>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</si>
  <si>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</si>
  <si>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</si>
  <si>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</si>
  <si>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</si>
  <si>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</si>
  <si>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</si>
  <si>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</si>
  <si>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</si>
  <si>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</si>
  <si>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</si>
  <si>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</si>
  <si>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</si>
  <si>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</si>
  <si>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</si>
  <si>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</si>
  <si>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</si>
  <si>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</si>
  <si>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</si>
  <si>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</si>
  <si>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</si>
  <si>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</si>
  <si>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</si>
  <si>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</si>
  <si>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</si>
  <si>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</si>
  <si>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</si>
  <si>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</si>
  <si>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</si>
  <si>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</si>
  <si>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</si>
  <si>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</si>
  <si>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</si>
  <si>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</si>
  <si>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</si>
  <si>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</si>
  <si>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</si>
  <si>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</si>
  <si>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</si>
  <si>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</si>
  <si>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</si>
  <si>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</si>
  <si>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</si>
  <si>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</si>
  <si>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</si>
  <si>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</si>
  <si>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</si>
  <si>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</si>
  <si>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</si>
  <si>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</si>
  <si>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</si>
  <si>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</si>
  <si>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</si>
  <si>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</si>
  <si>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</si>
  <si>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</si>
  <si>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</si>
  <si>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</si>
  <si>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</si>
  <si>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</si>
  <si>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</si>
  <si>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</si>
  <si>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</si>
  <si>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</si>
  <si>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</si>
  <si>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</si>
  <si>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</si>
  <si>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</si>
  <si>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</si>
  <si>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</si>
  <si>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</si>
  <si>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</si>
  <si>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</si>
  <si>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</si>
  <si>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</si>
  <si>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</si>
  <si>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</si>
  <si>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</si>
  <si>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</si>
  <si>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</si>
  <si>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</si>
  <si>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</si>
  <si>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</si>
  <si>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</si>
  <si>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</si>
  <si>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</si>
  <si>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</si>
  <si>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</si>
  <si>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</si>
  <si>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</si>
  <si>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</si>
  <si>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</si>
  <si>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</si>
  <si>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</si>
  <si>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</si>
  <si>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</si>
  <si>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</si>
  <si>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</si>
  <si>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</si>
  <si>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</si>
  <si>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</si>
  <si>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</si>
  <si>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</si>
  <si>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</si>
  <si>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</si>
  <si>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</si>
  <si>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</si>
  <si>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</si>
  <si>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</si>
  <si>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</si>
  <si>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</si>
  <si>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</si>
  <si>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</si>
  <si>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</si>
  <si>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</si>
  <si>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</si>
  <si>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</si>
  <si>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</si>
  <si>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</si>
  <si>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</si>
  <si>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</si>
  <si>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</si>
  <si>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</si>
  <si>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</si>
  <si>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</si>
  <si>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</si>
  <si>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</si>
  <si>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</si>
  <si>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</si>
  <si>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</si>
  <si>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</si>
  <si>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</si>
  <si>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</si>
  <si>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</si>
  <si>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</si>
  <si>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</si>
  <si>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</si>
  <si>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</si>
  <si>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</si>
  <si>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</si>
  <si>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</si>
  <si>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</si>
  <si>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</si>
  <si>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</si>
  <si>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</si>
  <si>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</si>
  <si>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</si>
  <si>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</si>
  <si>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</si>
  <si>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</si>
  <si>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</si>
  <si>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</si>
  <si>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</si>
  <si>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</si>
  <si>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</si>
  <si>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</si>
  <si>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</si>
  <si>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</si>
  <si>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</si>
  <si>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</si>
  <si>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</si>
  <si>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</si>
  <si>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</si>
  <si>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</si>
  <si>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</si>
  <si>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</si>
  <si>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</si>
  <si>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</si>
  <si>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بدهی به داریوش 28/1/98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</si>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</sst>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F13" sqref="F1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5017</v>
      </c>
      <c r="E1" t="s">
        <v>5018</v>
      </c>
      <c r="F1" t="s">
        <v>8</v>
      </c>
    </row>
    <row r="2" spans="1:6">
      <c r="A2" t="s">
        <v>5021</v>
      </c>
      <c r="B2">
        <v>237</v>
      </c>
      <c r="C2">
        <v>281</v>
      </c>
      <c r="D2">
        <f>B2/C2</f>
        <v>0.84341637010676151</v>
      </c>
      <c r="E2" t="s">
        <v>5022</v>
      </c>
      <c r="F2" t="s">
        <v>5023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5022</v>
      </c>
      <c r="F3" s="96" t="s">
        <v>5023</v>
      </c>
    </row>
    <row r="4" spans="1:6">
      <c r="A4" t="s">
        <v>5024</v>
      </c>
      <c r="B4">
        <v>195</v>
      </c>
      <c r="C4">
        <v>73</v>
      </c>
      <c r="D4" s="96">
        <f t="shared" si="0"/>
        <v>2.6712328767123288</v>
      </c>
      <c r="E4" t="s">
        <v>5025</v>
      </c>
      <c r="F4" t="s">
        <v>5026</v>
      </c>
    </row>
    <row r="5" spans="1:6">
      <c r="A5" t="s">
        <v>5027</v>
      </c>
      <c r="B5">
        <v>1</v>
      </c>
      <c r="C5">
        <v>1</v>
      </c>
      <c r="D5" s="96">
        <f t="shared" si="0"/>
        <v>1</v>
      </c>
      <c r="E5" t="s">
        <v>5025</v>
      </c>
      <c r="F5" t="s">
        <v>5028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5023</v>
      </c>
    </row>
    <row r="7" spans="1:6">
      <c r="A7" t="s">
        <v>5029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5030</v>
      </c>
      <c r="B8">
        <v>335</v>
      </c>
      <c r="C8">
        <v>141</v>
      </c>
      <c r="D8" s="96">
        <f t="shared" si="0"/>
        <v>2.375886524822695</v>
      </c>
      <c r="F8" s="96" t="s">
        <v>5028</v>
      </c>
    </row>
    <row r="9" spans="1:6">
      <c r="A9" t="s">
        <v>4871</v>
      </c>
      <c r="B9">
        <v>150</v>
      </c>
      <c r="C9">
        <v>240</v>
      </c>
      <c r="D9" s="96">
        <f t="shared" si="0"/>
        <v>0.625</v>
      </c>
      <c r="F9" t="s">
        <v>5031</v>
      </c>
    </row>
    <row r="10" spans="1:6">
      <c r="A10" t="s">
        <v>5032</v>
      </c>
      <c r="B10">
        <v>187</v>
      </c>
      <c r="C10">
        <v>208</v>
      </c>
      <c r="D10" s="96">
        <f t="shared" si="0"/>
        <v>0.89903846153846156</v>
      </c>
      <c r="F10" t="s">
        <v>5022</v>
      </c>
    </row>
    <row r="11" spans="1:6">
      <c r="A11" t="s">
        <v>5033</v>
      </c>
      <c r="B11">
        <v>412</v>
      </c>
      <c r="C11">
        <v>183</v>
      </c>
      <c r="D11" s="96">
        <f t="shared" si="0"/>
        <v>2.2513661202185791</v>
      </c>
      <c r="F11" s="96" t="s">
        <v>5028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5016</v>
      </c>
      <c r="B21">
        <v>113</v>
      </c>
      <c r="C21">
        <v>215</v>
      </c>
      <c r="D21" s="96">
        <f t="shared" si="0"/>
        <v>0.52558139534883719</v>
      </c>
      <c r="E21" t="s">
        <v>5019</v>
      </c>
      <c r="F21" t="s">
        <v>5020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4" sqref="E54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4942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4944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4938</v>
      </c>
      <c r="B4" s="18">
        <v>-960200</v>
      </c>
      <c r="C4" s="18">
        <v>0</v>
      </c>
      <c r="D4" s="113">
        <f t="shared" si="0"/>
        <v>-960200</v>
      </c>
      <c r="E4" s="99" t="s">
        <v>4945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4975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4995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5012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2310136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4898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4913</v>
      </c>
      <c r="B341" s="18">
        <v>433375</v>
      </c>
      <c r="C341" s="18">
        <v>0</v>
      </c>
      <c r="D341" s="18">
        <f t="shared" si="18"/>
        <v>433375</v>
      </c>
      <c r="E341" s="99" t="s">
        <v>4918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4924</v>
      </c>
      <c r="B343" s="18">
        <v>-300000</v>
      </c>
      <c r="C343" s="18">
        <v>0</v>
      </c>
      <c r="D343" s="18">
        <f t="shared" si="18"/>
        <v>-300000</v>
      </c>
      <c r="E343" s="99" t="s">
        <v>4927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4935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4944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4938</v>
      </c>
      <c r="B347" s="18">
        <v>-960200</v>
      </c>
      <c r="C347" s="18">
        <v>0</v>
      </c>
      <c r="D347" s="18">
        <f t="shared" si="18"/>
        <v>-960200</v>
      </c>
      <c r="E347" s="99" t="s">
        <v>4945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5" sqref="C275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1058</v>
      </c>
      <c r="E2" s="11">
        <f>IF(B2&gt;0,1,0)</f>
        <v>1</v>
      </c>
      <c r="F2" s="11">
        <f>B2*(D2-E2)</f>
        <v>102211900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1056</v>
      </c>
      <c r="E3" s="11">
        <f t="shared" ref="E3:E66" si="1">IF(B3&gt;0,1,0)</f>
        <v>1</v>
      </c>
      <c r="F3" s="11">
        <f t="shared" ref="F3:F66" si="2">B3*(D3-E3)</f>
        <v>3165000000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1053</v>
      </c>
      <c r="E4" s="11">
        <f t="shared" si="1"/>
        <v>0</v>
      </c>
      <c r="F4" s="11">
        <f t="shared" si="2"/>
        <v>-210600000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1051</v>
      </c>
      <c r="E5" s="11">
        <f t="shared" si="1"/>
        <v>0</v>
      </c>
      <c r="F5" s="11">
        <f t="shared" si="2"/>
        <v>-105100000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1050</v>
      </c>
      <c r="E6" s="11">
        <f t="shared" si="1"/>
        <v>0</v>
      </c>
      <c r="F6" s="11">
        <f t="shared" si="2"/>
        <v>-57750000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1049</v>
      </c>
      <c r="E7" s="11">
        <f t="shared" si="1"/>
        <v>0</v>
      </c>
      <c r="F7" s="11">
        <f t="shared" si="2"/>
        <v>-209800000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1045</v>
      </c>
      <c r="E8" s="11">
        <f t="shared" si="1"/>
        <v>0</v>
      </c>
      <c r="F8" s="11">
        <f t="shared" si="2"/>
        <v>-209000000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1035</v>
      </c>
      <c r="E9" s="11">
        <f t="shared" si="1"/>
        <v>0</v>
      </c>
      <c r="F9" s="11">
        <f t="shared" si="2"/>
        <v>-983767500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1034</v>
      </c>
      <c r="E10" s="11">
        <f t="shared" si="1"/>
        <v>1</v>
      </c>
      <c r="F10" s="11">
        <f t="shared" si="2"/>
        <v>2066000000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1032</v>
      </c>
      <c r="E11" s="11">
        <f t="shared" si="1"/>
        <v>0</v>
      </c>
      <c r="F11" s="11">
        <f t="shared" si="2"/>
        <v>-1099080000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1029</v>
      </c>
      <c r="E12" s="11">
        <f t="shared" si="1"/>
        <v>0</v>
      </c>
      <c r="F12" s="11">
        <f t="shared" si="2"/>
        <v>-46305000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1028</v>
      </c>
      <c r="E13" s="11">
        <f t="shared" si="1"/>
        <v>0</v>
      </c>
      <c r="F13" s="11">
        <f t="shared" si="2"/>
        <v>-2056719600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1024</v>
      </c>
      <c r="E14" s="11">
        <f t="shared" si="1"/>
        <v>0</v>
      </c>
      <c r="F14" s="11">
        <f t="shared" si="2"/>
        <v>-204800000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1022</v>
      </c>
      <c r="E15" s="11">
        <f t="shared" si="1"/>
        <v>1</v>
      </c>
      <c r="F15" s="11">
        <f t="shared" si="2"/>
        <v>2042000000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1022</v>
      </c>
      <c r="E16" s="11">
        <f t="shared" si="1"/>
        <v>1</v>
      </c>
      <c r="F16" s="11">
        <f t="shared" si="2"/>
        <v>2042000000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1022</v>
      </c>
      <c r="E17" s="11">
        <f t="shared" si="1"/>
        <v>1</v>
      </c>
      <c r="F17" s="11">
        <f t="shared" si="2"/>
        <v>1225200000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1022</v>
      </c>
      <c r="E18" s="11">
        <f t="shared" si="1"/>
        <v>1</v>
      </c>
      <c r="F18" s="11">
        <f t="shared" si="2"/>
        <v>1021000000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1021</v>
      </c>
      <c r="E19" s="11">
        <f t="shared" si="1"/>
        <v>1</v>
      </c>
      <c r="F19" s="11">
        <f t="shared" si="2"/>
        <v>3060000000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1021</v>
      </c>
      <c r="E20" s="11">
        <f t="shared" si="1"/>
        <v>0</v>
      </c>
      <c r="F20" s="11">
        <f t="shared" si="2"/>
        <v>-441786700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1021</v>
      </c>
      <c r="E21" s="11">
        <f t="shared" si="1"/>
        <v>0</v>
      </c>
      <c r="F21" s="11">
        <f t="shared" si="2"/>
        <v>-441786700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1021</v>
      </c>
      <c r="E22" s="11">
        <f t="shared" si="1"/>
        <v>0</v>
      </c>
      <c r="F22" s="11">
        <f t="shared" si="2"/>
        <v>-441786700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1021</v>
      </c>
      <c r="E23" s="11">
        <f t="shared" si="1"/>
        <v>0</v>
      </c>
      <c r="F23" s="11">
        <f t="shared" si="2"/>
        <v>-441786700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1021</v>
      </c>
      <c r="E24" s="11">
        <f t="shared" si="1"/>
        <v>0</v>
      </c>
      <c r="F24" s="11">
        <f t="shared" si="2"/>
        <v>-441786700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1021</v>
      </c>
      <c r="E25" s="11">
        <f t="shared" si="1"/>
        <v>0</v>
      </c>
      <c r="F25" s="11">
        <f t="shared" si="2"/>
        <v>-204200000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1020</v>
      </c>
      <c r="E26" s="11">
        <f t="shared" si="1"/>
        <v>1</v>
      </c>
      <c r="F26" s="11">
        <f t="shared" si="2"/>
        <v>3057000000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1018</v>
      </c>
      <c r="E27" s="11">
        <f t="shared" si="1"/>
        <v>0</v>
      </c>
      <c r="F27" s="11">
        <f t="shared" si="2"/>
        <v>-203600000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1017</v>
      </c>
      <c r="E28" s="11">
        <f t="shared" si="1"/>
        <v>1</v>
      </c>
      <c r="F28" s="11">
        <f t="shared" si="2"/>
        <v>2032000000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1016</v>
      </c>
      <c r="E29" s="11">
        <f t="shared" si="1"/>
        <v>0</v>
      </c>
      <c r="F29" s="11">
        <f t="shared" si="2"/>
        <v>-7112812800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1015</v>
      </c>
      <c r="E30" s="11">
        <f t="shared" si="1"/>
        <v>0</v>
      </c>
      <c r="F30" s="11">
        <f t="shared" si="2"/>
        <v>-3045913500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1014</v>
      </c>
      <c r="E31" s="11">
        <f t="shared" si="1"/>
        <v>0</v>
      </c>
      <c r="F31" s="11">
        <f t="shared" si="2"/>
        <v>-1719642600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1011</v>
      </c>
      <c r="E32" s="11">
        <f t="shared" si="1"/>
        <v>1</v>
      </c>
      <c r="F32" s="11">
        <f t="shared" si="2"/>
        <v>1004243000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1005</v>
      </c>
      <c r="E33" s="11">
        <f t="shared" si="1"/>
        <v>1</v>
      </c>
      <c r="F33" s="11">
        <f t="shared" si="2"/>
        <v>35231364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1004</v>
      </c>
      <c r="E34" s="11">
        <f t="shared" si="1"/>
        <v>0</v>
      </c>
      <c r="F34" s="11">
        <f t="shared" si="2"/>
        <v>-853400000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996</v>
      </c>
      <c r="E35" s="11">
        <f t="shared" si="1"/>
        <v>0</v>
      </c>
      <c r="F35" s="11">
        <f t="shared" si="2"/>
        <v>-189738000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995</v>
      </c>
      <c r="E36" s="11">
        <f t="shared" si="1"/>
        <v>1</v>
      </c>
      <c r="F36" s="11">
        <f t="shared" si="2"/>
        <v>198800000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995</v>
      </c>
      <c r="E37" s="11">
        <f t="shared" si="1"/>
        <v>0</v>
      </c>
      <c r="F37" s="11">
        <f t="shared" si="2"/>
        <v>-199000000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973</v>
      </c>
      <c r="E38" s="11">
        <f t="shared" si="1"/>
        <v>1</v>
      </c>
      <c r="F38" s="11">
        <f t="shared" si="2"/>
        <v>292383432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972</v>
      </c>
      <c r="E39" s="11">
        <f t="shared" si="1"/>
        <v>0</v>
      </c>
      <c r="F39" s="11">
        <f t="shared" si="2"/>
        <v>-92340000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972</v>
      </c>
      <c r="E40" s="11">
        <f t="shared" si="1"/>
        <v>0</v>
      </c>
      <c r="F40" s="11">
        <f t="shared" si="2"/>
        <v>-85636116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967</v>
      </c>
      <c r="E41" s="11">
        <f t="shared" si="1"/>
        <v>0</v>
      </c>
      <c r="F41" s="11">
        <f t="shared" si="2"/>
        <v>-116040000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945</v>
      </c>
      <c r="E42" s="11">
        <f t="shared" si="1"/>
        <v>1</v>
      </c>
      <c r="F42" s="11">
        <f t="shared" si="2"/>
        <v>944192576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941</v>
      </c>
      <c r="E43" s="11">
        <f t="shared" si="1"/>
        <v>0</v>
      </c>
      <c r="F43" s="11">
        <f t="shared" si="2"/>
        <v>-75280000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937</v>
      </c>
      <c r="E44" s="11">
        <f t="shared" si="1"/>
        <v>0</v>
      </c>
      <c r="F44" s="11">
        <f t="shared" si="2"/>
        <v>-197734173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936</v>
      </c>
      <c r="E45" s="11">
        <f t="shared" si="1"/>
        <v>0</v>
      </c>
      <c r="F45" s="11">
        <f t="shared" si="2"/>
        <v>-187200000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935</v>
      </c>
      <c r="E46" s="11">
        <f t="shared" si="1"/>
        <v>0</v>
      </c>
      <c r="F46" s="11">
        <f t="shared" si="2"/>
        <v>-88825000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933</v>
      </c>
      <c r="E47" s="11">
        <f t="shared" si="1"/>
        <v>0</v>
      </c>
      <c r="F47" s="11">
        <f t="shared" si="2"/>
        <v>-41985000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933</v>
      </c>
      <c r="E48" s="11">
        <f t="shared" si="1"/>
        <v>0</v>
      </c>
      <c r="F48" s="11">
        <f t="shared" si="2"/>
        <v>-59879940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930</v>
      </c>
      <c r="E49" s="11">
        <f t="shared" si="1"/>
        <v>0</v>
      </c>
      <c r="F49" s="11">
        <f t="shared" si="2"/>
        <v>-25560120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929</v>
      </c>
      <c r="E50" s="11">
        <f t="shared" si="1"/>
        <v>0</v>
      </c>
      <c r="F50" s="11">
        <f t="shared" si="2"/>
        <v>-130989000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929</v>
      </c>
      <c r="E51" s="11">
        <f t="shared" si="1"/>
        <v>0</v>
      </c>
      <c r="F51" s="11">
        <f t="shared" si="2"/>
        <v>-24847034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928</v>
      </c>
      <c r="E52" s="11">
        <f t="shared" si="1"/>
        <v>0</v>
      </c>
      <c r="F52" s="11">
        <f t="shared" si="2"/>
        <v>-49462400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927</v>
      </c>
      <c r="E53" s="11">
        <f t="shared" si="1"/>
        <v>1</v>
      </c>
      <c r="F53" s="11">
        <f t="shared" si="2"/>
        <v>926000000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921</v>
      </c>
      <c r="E54" s="11">
        <f t="shared" si="1"/>
        <v>0</v>
      </c>
      <c r="F54" s="11">
        <f t="shared" si="2"/>
        <v>-19341000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920</v>
      </c>
      <c r="E55" s="11">
        <f t="shared" si="1"/>
        <v>0</v>
      </c>
      <c r="F55" s="11">
        <f t="shared" si="2"/>
        <v>-902060000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920</v>
      </c>
      <c r="E56" s="11">
        <f t="shared" si="1"/>
        <v>0</v>
      </c>
      <c r="F56" s="11">
        <f t="shared" si="2"/>
        <v>-41400000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907</v>
      </c>
      <c r="E57" s="11">
        <f t="shared" si="1"/>
        <v>1</v>
      </c>
      <c r="F57" s="11">
        <f t="shared" si="2"/>
        <v>2722701234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907</v>
      </c>
      <c r="E58" s="11">
        <f t="shared" si="1"/>
        <v>1</v>
      </c>
      <c r="F58" s="11">
        <f t="shared" si="2"/>
        <v>1812000000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906</v>
      </c>
      <c r="E59" s="11">
        <f t="shared" si="1"/>
        <v>1</v>
      </c>
      <c r="F59" s="11">
        <f t="shared" si="2"/>
        <v>1810000000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906</v>
      </c>
      <c r="E60" s="11">
        <f t="shared" si="1"/>
        <v>0</v>
      </c>
      <c r="F60" s="11">
        <f t="shared" si="2"/>
        <v>-6343359000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882</v>
      </c>
      <c r="E61" s="11">
        <f t="shared" si="1"/>
        <v>1</v>
      </c>
      <c r="F61" s="11">
        <f t="shared" si="2"/>
        <v>2643000000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881</v>
      </c>
      <c r="E62" s="11">
        <f t="shared" si="1"/>
        <v>0</v>
      </c>
      <c r="F62" s="11">
        <f t="shared" si="2"/>
        <v>-23883029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881</v>
      </c>
      <c r="E63" s="11">
        <f t="shared" si="1"/>
        <v>0</v>
      </c>
      <c r="F63" s="11">
        <f t="shared" si="2"/>
        <v>-29063309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881</v>
      </c>
      <c r="E64" s="11">
        <f t="shared" si="1"/>
        <v>1</v>
      </c>
      <c r="F64" s="11">
        <f t="shared" si="2"/>
        <v>2640000000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881</v>
      </c>
      <c r="E65" s="11">
        <f t="shared" si="1"/>
        <v>1</v>
      </c>
      <c r="F65" s="11">
        <f t="shared" si="2"/>
        <v>2613600000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881</v>
      </c>
      <c r="E66" s="11">
        <f t="shared" si="1"/>
        <v>1</v>
      </c>
      <c r="F66" s="11">
        <f t="shared" si="2"/>
        <v>880000000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881</v>
      </c>
      <c r="E67" s="11">
        <f t="shared" ref="E67:E130" si="4">IF(B67&gt;0,1,0)</f>
        <v>1</v>
      </c>
      <c r="F67" s="11">
        <f t="shared" ref="F67:F248" si="5">B67*(D67-E67)</f>
        <v>26400000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880</v>
      </c>
      <c r="E68" s="11">
        <f t="shared" si="4"/>
        <v>1</v>
      </c>
      <c r="F68" s="11">
        <f t="shared" si="5"/>
        <v>26370000000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879</v>
      </c>
      <c r="E69" s="11">
        <f t="shared" si="4"/>
        <v>0</v>
      </c>
      <c r="F69" s="11">
        <f t="shared" si="5"/>
        <v>-175800000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879</v>
      </c>
      <c r="E70" s="11">
        <f t="shared" si="4"/>
        <v>1</v>
      </c>
      <c r="F70" s="11">
        <f t="shared" si="5"/>
        <v>1229200000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879</v>
      </c>
      <c r="E71" s="11">
        <f t="shared" si="4"/>
        <v>1</v>
      </c>
      <c r="F71" s="11">
        <f t="shared" si="5"/>
        <v>2282800000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879</v>
      </c>
      <c r="E72" s="11">
        <f t="shared" si="4"/>
        <v>0</v>
      </c>
      <c r="F72" s="11">
        <f t="shared" si="5"/>
        <v>-879000000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877</v>
      </c>
      <c r="E73" s="11">
        <f t="shared" si="4"/>
        <v>1</v>
      </c>
      <c r="F73" s="11">
        <f t="shared" si="5"/>
        <v>13140000000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872</v>
      </c>
      <c r="E74" s="11">
        <f t="shared" si="4"/>
        <v>0</v>
      </c>
      <c r="F74" s="11">
        <f t="shared" si="5"/>
        <v>-13083662400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870</v>
      </c>
      <c r="E75" s="11">
        <f t="shared" si="4"/>
        <v>0</v>
      </c>
      <c r="F75" s="11">
        <f t="shared" si="5"/>
        <v>-2610000000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870</v>
      </c>
      <c r="E76" s="11">
        <f t="shared" si="4"/>
        <v>0</v>
      </c>
      <c r="F76" s="11">
        <f t="shared" si="5"/>
        <v>-174000000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870</v>
      </c>
      <c r="E77" s="11">
        <f t="shared" si="4"/>
        <v>0</v>
      </c>
      <c r="F77" s="11">
        <f t="shared" si="5"/>
        <v>-10442610000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866</v>
      </c>
      <c r="E78" s="11">
        <f t="shared" si="4"/>
        <v>0</v>
      </c>
      <c r="F78" s="11">
        <f t="shared" si="5"/>
        <v>-2598779400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861</v>
      </c>
      <c r="E79" s="11">
        <f t="shared" si="4"/>
        <v>1</v>
      </c>
      <c r="F79" s="11">
        <f t="shared" si="5"/>
        <v>19780000000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856</v>
      </c>
      <c r="E80" s="11">
        <f t="shared" si="4"/>
        <v>0</v>
      </c>
      <c r="F80" s="11">
        <f t="shared" si="5"/>
        <v>-514028000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856</v>
      </c>
      <c r="E81" s="11">
        <f t="shared" si="4"/>
        <v>0</v>
      </c>
      <c r="F81" s="11">
        <f t="shared" si="5"/>
        <v>-171200000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855</v>
      </c>
      <c r="E82" s="11">
        <f t="shared" si="4"/>
        <v>1</v>
      </c>
      <c r="F82" s="11">
        <f t="shared" si="5"/>
        <v>241870734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855</v>
      </c>
      <c r="E83" s="11">
        <f t="shared" si="4"/>
        <v>0</v>
      </c>
      <c r="F83" s="11">
        <f t="shared" si="5"/>
        <v>-171000000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853</v>
      </c>
      <c r="E84" s="11">
        <f t="shared" si="4"/>
        <v>1</v>
      </c>
      <c r="F84" s="11">
        <f t="shared" si="5"/>
        <v>1704000000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850</v>
      </c>
      <c r="E85" s="11">
        <f t="shared" si="4"/>
        <v>0</v>
      </c>
      <c r="F85" s="11">
        <f t="shared" si="5"/>
        <v>-170000000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844</v>
      </c>
      <c r="E86" s="11">
        <f t="shared" si="4"/>
        <v>0</v>
      </c>
      <c r="F86" s="11">
        <f t="shared" si="5"/>
        <v>-168800000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842</v>
      </c>
      <c r="E87" s="11">
        <f t="shared" si="4"/>
        <v>0</v>
      </c>
      <c r="F87" s="11">
        <f t="shared" si="5"/>
        <v>-1115650000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827</v>
      </c>
      <c r="E88" s="11">
        <f t="shared" si="4"/>
        <v>0</v>
      </c>
      <c r="F88" s="11">
        <f t="shared" si="5"/>
        <v>-413500000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827</v>
      </c>
      <c r="E89" s="11">
        <f t="shared" si="4"/>
        <v>0</v>
      </c>
      <c r="F89" s="11">
        <f t="shared" si="5"/>
        <v>-99240000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825</v>
      </c>
      <c r="E90" s="11">
        <f t="shared" si="4"/>
        <v>1</v>
      </c>
      <c r="F90" s="11">
        <f t="shared" si="5"/>
        <v>352840920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822</v>
      </c>
      <c r="E91" s="11">
        <f t="shared" si="4"/>
        <v>0</v>
      </c>
      <c r="F91" s="11">
        <f t="shared" si="5"/>
        <v>-2467644000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820</v>
      </c>
      <c r="E92" s="11">
        <f t="shared" si="4"/>
        <v>0</v>
      </c>
      <c r="F92" s="11">
        <f t="shared" si="5"/>
        <v>-168100000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820</v>
      </c>
      <c r="E93" s="11">
        <f t="shared" si="4"/>
        <v>0</v>
      </c>
      <c r="F93" s="11">
        <f t="shared" si="5"/>
        <v>-287410000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809</v>
      </c>
      <c r="E94" s="11">
        <f t="shared" si="4"/>
        <v>1</v>
      </c>
      <c r="F94" s="11">
        <f t="shared" si="5"/>
        <v>808000000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804</v>
      </c>
      <c r="E95" s="11">
        <f t="shared" si="4"/>
        <v>1</v>
      </c>
      <c r="F95" s="11">
        <f t="shared" si="5"/>
        <v>7227000000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802</v>
      </c>
      <c r="E96" s="11">
        <f t="shared" si="4"/>
        <v>0</v>
      </c>
      <c r="F96" s="11">
        <f t="shared" si="5"/>
        <v>-20852000000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802</v>
      </c>
      <c r="E97" s="11">
        <f t="shared" si="4"/>
        <v>0</v>
      </c>
      <c r="F97" s="11">
        <f t="shared" si="5"/>
        <v>-20852000000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802</v>
      </c>
      <c r="E98" s="11">
        <f t="shared" si="4"/>
        <v>1</v>
      </c>
      <c r="F98" s="11">
        <f t="shared" si="5"/>
        <v>20826000000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802</v>
      </c>
      <c r="E99" s="11">
        <f t="shared" si="4"/>
        <v>0</v>
      </c>
      <c r="F99" s="11">
        <f t="shared" si="5"/>
        <v>-160400000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800</v>
      </c>
      <c r="E100" s="11">
        <f t="shared" si="4"/>
        <v>1</v>
      </c>
      <c r="F100" s="11">
        <f t="shared" si="5"/>
        <v>23330800000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795</v>
      </c>
      <c r="E101" s="11">
        <f t="shared" si="4"/>
        <v>1</v>
      </c>
      <c r="F101" s="11">
        <f t="shared" si="5"/>
        <v>317556330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794</v>
      </c>
      <c r="E102" s="11">
        <f t="shared" si="4"/>
        <v>1</v>
      </c>
      <c r="F102" s="11">
        <f t="shared" si="5"/>
        <v>1586000000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793</v>
      </c>
      <c r="E103" s="11">
        <f t="shared" si="4"/>
        <v>1</v>
      </c>
      <c r="F103" s="11">
        <f t="shared" si="5"/>
        <v>5940000000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793</v>
      </c>
      <c r="E104" s="11">
        <f t="shared" si="4"/>
        <v>0</v>
      </c>
      <c r="F104" s="11">
        <f t="shared" si="5"/>
        <v>-52338000000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793</v>
      </c>
      <c r="E105" s="11">
        <f t="shared" si="4"/>
        <v>0</v>
      </c>
      <c r="F105" s="11">
        <f t="shared" si="5"/>
        <v>-114985000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791</v>
      </c>
      <c r="E106" s="11">
        <f t="shared" si="4"/>
        <v>1</v>
      </c>
      <c r="F106" s="11">
        <f t="shared" si="5"/>
        <v>4740000000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789</v>
      </c>
      <c r="E107" s="11">
        <f t="shared" si="4"/>
        <v>0</v>
      </c>
      <c r="F107" s="11">
        <f t="shared" si="5"/>
        <v>-4738655100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786</v>
      </c>
      <c r="E108" s="11">
        <f t="shared" si="4"/>
        <v>1</v>
      </c>
      <c r="F108" s="11">
        <f t="shared" si="5"/>
        <v>4710000000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774</v>
      </c>
      <c r="E109" s="11">
        <f t="shared" si="4"/>
        <v>0</v>
      </c>
      <c r="F109" s="11">
        <f t="shared" si="5"/>
        <v>-92880000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773</v>
      </c>
      <c r="E110" s="11">
        <f t="shared" si="4"/>
        <v>1</v>
      </c>
      <c r="F110" s="11">
        <f t="shared" si="5"/>
        <v>3088000000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772</v>
      </c>
      <c r="E111" s="11">
        <f t="shared" si="4"/>
        <v>1</v>
      </c>
      <c r="F111" s="11">
        <f t="shared" si="5"/>
        <v>2158800000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768</v>
      </c>
      <c r="E112" s="11">
        <f t="shared" si="4"/>
        <v>0</v>
      </c>
      <c r="F112" s="11">
        <f t="shared" si="5"/>
        <v>-153600000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767</v>
      </c>
      <c r="E113" s="11">
        <f t="shared" si="4"/>
        <v>1</v>
      </c>
      <c r="F113" s="11">
        <f t="shared" si="5"/>
        <v>55389460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750</v>
      </c>
      <c r="E114" s="11">
        <f t="shared" si="4"/>
        <v>0</v>
      </c>
      <c r="F114" s="11">
        <f t="shared" si="5"/>
        <v>-150000000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749</v>
      </c>
      <c r="E115" s="11">
        <f t="shared" si="4"/>
        <v>0</v>
      </c>
      <c r="F115" s="23">
        <f t="shared" si="5"/>
        <v>-8239000000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749</v>
      </c>
      <c r="E116" s="11">
        <f t="shared" si="4"/>
        <v>0</v>
      </c>
      <c r="F116" s="11">
        <f t="shared" si="5"/>
        <v>-149800000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747</v>
      </c>
      <c r="E117" s="11">
        <f t="shared" si="4"/>
        <v>0</v>
      </c>
      <c r="F117" s="11">
        <f t="shared" si="5"/>
        <v>-336523500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747</v>
      </c>
      <c r="E118" s="11">
        <f t="shared" si="4"/>
        <v>0</v>
      </c>
      <c r="F118" s="11">
        <f t="shared" si="5"/>
        <v>-149400000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741</v>
      </c>
      <c r="E119" s="11">
        <f t="shared" si="4"/>
        <v>0</v>
      </c>
      <c r="F119" s="11">
        <f t="shared" si="5"/>
        <v>-114521550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741</v>
      </c>
      <c r="E120" s="11">
        <f t="shared" si="4"/>
        <v>0</v>
      </c>
      <c r="F120" s="11">
        <f t="shared" si="5"/>
        <v>-237120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740</v>
      </c>
      <c r="E121" s="11">
        <f t="shared" si="4"/>
        <v>0</v>
      </c>
      <c r="F121" s="11">
        <f t="shared" si="5"/>
        <v>-319680000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734</v>
      </c>
      <c r="E122" s="11">
        <f t="shared" si="4"/>
        <v>1</v>
      </c>
      <c r="F122" s="11">
        <f t="shared" si="5"/>
        <v>54273519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713</v>
      </c>
      <c r="E123" s="11">
        <f t="shared" si="4"/>
        <v>0</v>
      </c>
      <c r="F123" s="11">
        <f t="shared" si="5"/>
        <v>-37076000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672</v>
      </c>
      <c r="E124" s="11">
        <f t="shared" si="4"/>
        <v>1</v>
      </c>
      <c r="F124" s="11">
        <f t="shared" si="5"/>
        <v>796477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671</v>
      </c>
      <c r="E125" s="11">
        <f t="shared" si="4"/>
        <v>1</v>
      </c>
      <c r="F125" s="11">
        <f t="shared" si="5"/>
        <v>1608000000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669</v>
      </c>
      <c r="E126" s="11">
        <f t="shared" si="4"/>
        <v>1</v>
      </c>
      <c r="F126" s="11">
        <f t="shared" si="5"/>
        <v>896990400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669</v>
      </c>
      <c r="E127" s="11">
        <f t="shared" si="4"/>
        <v>1</v>
      </c>
      <c r="F127" s="11">
        <f t="shared" si="5"/>
        <v>896990400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657</v>
      </c>
      <c r="E128" s="11">
        <f t="shared" si="4"/>
        <v>0</v>
      </c>
      <c r="F128" s="11">
        <f t="shared" si="5"/>
        <v>-131400000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655</v>
      </c>
      <c r="E129" s="11">
        <f t="shared" si="4"/>
        <v>0</v>
      </c>
      <c r="F129" s="11">
        <f>B129*(D129-E129)</f>
        <v>-10229790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654</v>
      </c>
      <c r="E130" s="11">
        <f t="shared" si="4"/>
        <v>0</v>
      </c>
      <c r="F130" s="11">
        <f t="shared" si="5"/>
        <v>-130800000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653</v>
      </c>
      <c r="E131" s="11">
        <f t="shared" ref="E131:E248" si="7">IF(B131&gt;0,1,0)</f>
        <v>0</v>
      </c>
      <c r="F131" s="11">
        <f t="shared" si="5"/>
        <v>-130600000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652</v>
      </c>
      <c r="E132" s="11">
        <f t="shared" si="7"/>
        <v>0</v>
      </c>
      <c r="F132" s="11">
        <f t="shared" si="5"/>
        <v>-254280000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652</v>
      </c>
      <c r="E133" s="11">
        <f t="shared" si="7"/>
        <v>0</v>
      </c>
      <c r="F133" s="11">
        <f t="shared" si="5"/>
        <v>-15974000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651</v>
      </c>
      <c r="E134" s="11">
        <f t="shared" si="7"/>
        <v>0</v>
      </c>
      <c r="F134" s="11">
        <f t="shared" si="5"/>
        <v>-61845000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647</v>
      </c>
      <c r="E135" s="11">
        <f t="shared" si="7"/>
        <v>0</v>
      </c>
      <c r="F135" s="11">
        <f t="shared" si="5"/>
        <v>-129400000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645</v>
      </c>
      <c r="E136" s="11">
        <f t="shared" si="7"/>
        <v>1</v>
      </c>
      <c r="F136" s="11">
        <f t="shared" si="5"/>
        <v>32200000000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644</v>
      </c>
      <c r="E137" s="11">
        <f t="shared" si="7"/>
        <v>1</v>
      </c>
      <c r="F137" s="11">
        <f t="shared" si="5"/>
        <v>7716000000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642</v>
      </c>
      <c r="E138" s="11">
        <f t="shared" si="7"/>
        <v>1</v>
      </c>
      <c r="F138" s="11">
        <f t="shared" si="5"/>
        <v>1282000000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641</v>
      </c>
      <c r="E139" s="11">
        <f t="shared" si="7"/>
        <v>1</v>
      </c>
      <c r="F139" s="11">
        <f t="shared" si="5"/>
        <v>56024320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628</v>
      </c>
      <c r="E140" s="11">
        <f t="shared" si="7"/>
        <v>0</v>
      </c>
      <c r="F140" s="11">
        <f t="shared" si="5"/>
        <v>-1884565200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627</v>
      </c>
      <c r="E141" s="11">
        <f t="shared" si="7"/>
        <v>0</v>
      </c>
      <c r="F141" s="11">
        <f t="shared" si="5"/>
        <v>-1881564300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610</v>
      </c>
      <c r="E142" s="11">
        <f t="shared" si="7"/>
        <v>1</v>
      </c>
      <c r="F142" s="11">
        <f t="shared" si="5"/>
        <v>366633225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610</v>
      </c>
      <c r="E143" s="11">
        <f t="shared" si="7"/>
        <v>0</v>
      </c>
      <c r="F143" s="11">
        <f t="shared" si="5"/>
        <v>-28060000000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579</v>
      </c>
      <c r="E144" s="11">
        <f t="shared" si="7"/>
        <v>1</v>
      </c>
      <c r="F144" s="11">
        <f t="shared" si="5"/>
        <v>89073846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578</v>
      </c>
      <c r="E145" s="11">
        <f t="shared" si="7"/>
        <v>1</v>
      </c>
      <c r="F145" s="11">
        <f t="shared" si="5"/>
        <v>1731000000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575</v>
      </c>
      <c r="E146" s="11">
        <f t="shared" si="7"/>
        <v>0</v>
      </c>
      <c r="F146" s="11">
        <f t="shared" si="5"/>
        <v>-115000000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570</v>
      </c>
      <c r="E147" s="11">
        <f t="shared" si="7"/>
        <v>0</v>
      </c>
      <c r="F147" s="11">
        <f t="shared" si="5"/>
        <v>-114000000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569</v>
      </c>
      <c r="E148" s="11">
        <f t="shared" si="7"/>
        <v>0</v>
      </c>
      <c r="F148" s="11">
        <f t="shared" si="5"/>
        <v>-113800000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565</v>
      </c>
      <c r="E149" s="11">
        <f t="shared" si="7"/>
        <v>0</v>
      </c>
      <c r="F149" s="11">
        <f t="shared" si="5"/>
        <v>-113000000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564</v>
      </c>
      <c r="E150" s="11">
        <f t="shared" si="7"/>
        <v>1</v>
      </c>
      <c r="F150" s="11">
        <f t="shared" si="5"/>
        <v>13553324200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562</v>
      </c>
      <c r="E151" s="11">
        <f t="shared" si="7"/>
        <v>0</v>
      </c>
      <c r="F151" s="11">
        <f t="shared" si="5"/>
        <v>-112400000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556</v>
      </c>
      <c r="E152" s="11">
        <f t="shared" si="7"/>
        <v>0</v>
      </c>
      <c r="F152" s="11">
        <f t="shared" si="5"/>
        <v>-16680000000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555</v>
      </c>
      <c r="E153" s="11">
        <f t="shared" si="7"/>
        <v>0</v>
      </c>
      <c r="F153" s="11">
        <f t="shared" si="5"/>
        <v>-28860000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555</v>
      </c>
      <c r="E154" s="11">
        <f t="shared" si="7"/>
        <v>0</v>
      </c>
      <c r="F154" s="11">
        <f t="shared" si="5"/>
        <v>-75480000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550</v>
      </c>
      <c r="E155" s="11">
        <f t="shared" si="7"/>
        <v>1</v>
      </c>
      <c r="F155" s="11">
        <f t="shared" si="5"/>
        <v>1647000000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549</v>
      </c>
      <c r="E156" s="11">
        <f t="shared" si="7"/>
        <v>1</v>
      </c>
      <c r="F156" s="11">
        <f t="shared" si="5"/>
        <v>103628444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549</v>
      </c>
      <c r="E157" s="11">
        <f t="shared" si="7"/>
        <v>1</v>
      </c>
      <c r="F157" s="11">
        <f t="shared" si="5"/>
        <v>13276779600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541</v>
      </c>
      <c r="E158" s="11">
        <f t="shared" si="7"/>
        <v>1</v>
      </c>
      <c r="F158" s="11">
        <f t="shared" si="5"/>
        <v>13119408000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541</v>
      </c>
      <c r="E159" s="11">
        <f t="shared" si="7"/>
        <v>0</v>
      </c>
      <c r="F159" s="11">
        <f t="shared" si="5"/>
        <v>-108741000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536</v>
      </c>
      <c r="E160" s="11">
        <f t="shared" si="7"/>
        <v>0</v>
      </c>
      <c r="F160" s="11">
        <f t="shared" si="5"/>
        <v>-107200000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533</v>
      </c>
      <c r="E161" s="11">
        <f t="shared" si="7"/>
        <v>0</v>
      </c>
      <c r="F161" s="11">
        <f t="shared" si="5"/>
        <v>-106600000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529</v>
      </c>
      <c r="E162" s="11">
        <f t="shared" si="7"/>
        <v>0</v>
      </c>
      <c r="F162" s="11">
        <f t="shared" si="5"/>
        <v>-105800000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526</v>
      </c>
      <c r="E163" s="11">
        <f t="shared" si="7"/>
        <v>0</v>
      </c>
      <c r="F163" s="11">
        <f t="shared" si="5"/>
        <v>-105200000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519</v>
      </c>
      <c r="E164" s="11">
        <f t="shared" si="7"/>
        <v>1</v>
      </c>
      <c r="F164" s="11">
        <f t="shared" si="5"/>
        <v>237075132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516</v>
      </c>
      <c r="E165" s="11">
        <f t="shared" si="7"/>
        <v>1</v>
      </c>
      <c r="F165" s="11">
        <f t="shared" si="5"/>
        <v>1390500000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516</v>
      </c>
      <c r="E166" s="11">
        <f t="shared" si="7"/>
        <v>1</v>
      </c>
      <c r="F166" s="11">
        <f t="shared" si="5"/>
        <v>1287500000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509</v>
      </c>
      <c r="E167" s="11">
        <f t="shared" si="7"/>
        <v>0</v>
      </c>
      <c r="F167" s="11">
        <f t="shared" si="5"/>
        <v>-101800000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507</v>
      </c>
      <c r="E168" s="11">
        <f t="shared" si="7"/>
        <v>0</v>
      </c>
      <c r="F168" s="11">
        <f t="shared" si="5"/>
        <v>-101400000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501</v>
      </c>
      <c r="E169" s="11">
        <f t="shared" si="7"/>
        <v>0</v>
      </c>
      <c r="F169" s="11">
        <f t="shared" si="5"/>
        <v>-100200000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498</v>
      </c>
      <c r="E170" s="11">
        <f t="shared" si="7"/>
        <v>0</v>
      </c>
      <c r="F170" s="11">
        <f t="shared" si="5"/>
        <v>-99600000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498</v>
      </c>
      <c r="E171" s="11">
        <f t="shared" si="7"/>
        <v>1</v>
      </c>
      <c r="F171" s="11">
        <f t="shared" si="5"/>
        <v>1491000000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495</v>
      </c>
      <c r="E172" s="11">
        <f t="shared" si="7"/>
        <v>0</v>
      </c>
      <c r="F172" s="11">
        <f t="shared" si="5"/>
        <v>-99000000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494</v>
      </c>
      <c r="E173" s="11">
        <f t="shared" si="7"/>
        <v>1</v>
      </c>
      <c r="F173" s="11">
        <f t="shared" si="5"/>
        <v>1479000000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493</v>
      </c>
      <c r="E174" s="11">
        <f t="shared" si="7"/>
        <v>1</v>
      </c>
      <c r="F174" s="11">
        <f t="shared" si="5"/>
        <v>984000000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492</v>
      </c>
      <c r="E175" s="11">
        <f t="shared" si="7"/>
        <v>1</v>
      </c>
      <c r="F175" s="11">
        <f t="shared" si="5"/>
        <v>638300000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490</v>
      </c>
      <c r="E176" s="11">
        <f t="shared" si="7"/>
        <v>0</v>
      </c>
      <c r="F176" s="11">
        <f t="shared" si="5"/>
        <v>-98000000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490</v>
      </c>
      <c r="E177" s="11">
        <f t="shared" si="7"/>
        <v>1</v>
      </c>
      <c r="F177" s="11">
        <f t="shared" si="5"/>
        <v>831300000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489</v>
      </c>
      <c r="E178" s="11">
        <f t="shared" si="7"/>
        <v>0</v>
      </c>
      <c r="F178" s="11">
        <f t="shared" si="5"/>
        <v>-97800000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488</v>
      </c>
      <c r="E179" s="11">
        <f t="shared" si="7"/>
        <v>1</v>
      </c>
      <c r="F179" s="11">
        <f t="shared" si="5"/>
        <v>278316604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485</v>
      </c>
      <c r="E180" s="11">
        <f t="shared" si="7"/>
        <v>1</v>
      </c>
      <c r="F180" s="11">
        <f t="shared" si="5"/>
        <v>1452000000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478</v>
      </c>
      <c r="E181" s="11">
        <f t="shared" si="7"/>
        <v>1</v>
      </c>
      <c r="F181" s="11">
        <f t="shared" si="5"/>
        <v>954000000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470</v>
      </c>
      <c r="E182" s="11">
        <f t="shared" si="7"/>
        <v>0</v>
      </c>
      <c r="F182" s="11">
        <f t="shared" si="5"/>
        <v>-1034329000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458</v>
      </c>
      <c r="E183" s="11">
        <f t="shared" si="7"/>
        <v>1</v>
      </c>
      <c r="F183" s="11">
        <f t="shared" si="5"/>
        <v>308514759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428</v>
      </c>
      <c r="E184" s="11">
        <f t="shared" si="7"/>
        <v>1</v>
      </c>
      <c r="F184" s="11">
        <f t="shared" si="5"/>
        <v>289079000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413</v>
      </c>
      <c r="E185" s="11">
        <f t="shared" si="7"/>
        <v>0</v>
      </c>
      <c r="F185" s="11">
        <f t="shared" si="5"/>
        <v>-4130000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408</v>
      </c>
      <c r="E186" s="11">
        <f t="shared" si="7"/>
        <v>0</v>
      </c>
      <c r="F186" s="11">
        <f t="shared" si="5"/>
        <v>-32844000000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403</v>
      </c>
      <c r="E187" s="11">
        <f t="shared" si="7"/>
        <v>0</v>
      </c>
      <c r="F187" s="11">
        <f t="shared" si="5"/>
        <v>-443300000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403</v>
      </c>
      <c r="E188" s="11">
        <f t="shared" si="7"/>
        <v>1</v>
      </c>
      <c r="F188" s="11">
        <f t="shared" si="5"/>
        <v>1206000000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402</v>
      </c>
      <c r="E189" s="11">
        <f t="shared" si="7"/>
        <v>1</v>
      </c>
      <c r="F189" s="11">
        <f t="shared" si="5"/>
        <v>802000000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402</v>
      </c>
      <c r="E190" s="11">
        <f t="shared" si="7"/>
        <v>0</v>
      </c>
      <c r="F190" s="11">
        <f t="shared" si="5"/>
        <v>-2010000000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401</v>
      </c>
      <c r="E191" s="11">
        <f t="shared" si="7"/>
        <v>1</v>
      </c>
      <c r="F191" s="11">
        <f t="shared" si="5"/>
        <v>193299200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397</v>
      </c>
      <c r="E192" s="11">
        <f t="shared" si="7"/>
        <v>0</v>
      </c>
      <c r="F192" s="11">
        <f t="shared" si="5"/>
        <v>-45774100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393</v>
      </c>
      <c r="E193" s="11">
        <f t="shared" si="7"/>
        <v>1</v>
      </c>
      <c r="F193" s="11">
        <f t="shared" si="5"/>
        <v>35280000000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386</v>
      </c>
      <c r="E194" s="11">
        <f t="shared" si="7"/>
        <v>1</v>
      </c>
      <c r="F194" s="11">
        <f t="shared" si="5"/>
        <v>20020000000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386</v>
      </c>
      <c r="E195" s="11">
        <f t="shared" si="7"/>
        <v>1</v>
      </c>
      <c r="F195" s="99">
        <f t="shared" si="5"/>
        <v>9625000000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386</v>
      </c>
      <c r="E196" s="99">
        <f t="shared" si="7"/>
        <v>0</v>
      </c>
      <c r="F196" s="99">
        <f t="shared" si="5"/>
        <v>-64848000000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379</v>
      </c>
      <c r="E197" s="99">
        <f t="shared" si="7"/>
        <v>0</v>
      </c>
      <c r="F197" s="99">
        <f t="shared" si="5"/>
        <v>-62724500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375</v>
      </c>
      <c r="E198" s="99">
        <f t="shared" si="7"/>
        <v>0</v>
      </c>
      <c r="F198" s="99">
        <f t="shared" si="5"/>
        <v>-75000000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375</v>
      </c>
      <c r="E199" s="99">
        <f t="shared" si="7"/>
        <v>0</v>
      </c>
      <c r="F199" s="99">
        <f t="shared" si="5"/>
        <v>-17617875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372</v>
      </c>
      <c r="E200" s="99">
        <f t="shared" si="7"/>
        <v>0</v>
      </c>
      <c r="F200" s="99">
        <f t="shared" si="5"/>
        <v>-1729800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370</v>
      </c>
      <c r="E201" s="99">
        <f t="shared" si="7"/>
        <v>1</v>
      </c>
      <c r="F201" s="99">
        <f t="shared" si="5"/>
        <v>58976532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367</v>
      </c>
      <c r="E202" s="99">
        <f t="shared" si="7"/>
        <v>0</v>
      </c>
      <c r="F202" s="99">
        <f t="shared" si="5"/>
        <v>-110283500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367</v>
      </c>
      <c r="E203" s="99">
        <f t="shared" si="7"/>
        <v>1</v>
      </c>
      <c r="F203" s="99">
        <f t="shared" si="5"/>
        <v>2196000000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365</v>
      </c>
      <c r="E204" s="99">
        <f t="shared" si="7"/>
        <v>0</v>
      </c>
      <c r="F204" s="99">
        <f t="shared" si="5"/>
        <v>-250025000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364</v>
      </c>
      <c r="E205" s="99">
        <f t="shared" si="7"/>
        <v>0</v>
      </c>
      <c r="F205" s="99">
        <f t="shared" si="5"/>
        <v>-1092000000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363</v>
      </c>
      <c r="E206" s="99">
        <f t="shared" si="7"/>
        <v>0</v>
      </c>
      <c r="F206" s="99">
        <f t="shared" si="5"/>
        <v>-56628000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362</v>
      </c>
      <c r="E207" s="99">
        <f t="shared" si="7"/>
        <v>0</v>
      </c>
      <c r="F207" s="99">
        <f t="shared" si="5"/>
        <v>-23892000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361</v>
      </c>
      <c r="E208" s="99">
        <f t="shared" si="7"/>
        <v>0</v>
      </c>
      <c r="F208" s="99">
        <f t="shared" si="5"/>
        <v>-902824900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359</v>
      </c>
      <c r="E209" s="99">
        <f t="shared" si="7"/>
        <v>1</v>
      </c>
      <c r="F209" s="99">
        <f t="shared" si="5"/>
        <v>1074000000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359</v>
      </c>
      <c r="E210" s="99">
        <f t="shared" si="7"/>
        <v>0</v>
      </c>
      <c r="F210" s="99">
        <f t="shared" si="5"/>
        <v>-933902600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357</v>
      </c>
      <c r="E211" s="99">
        <f t="shared" si="7"/>
        <v>1</v>
      </c>
      <c r="F211" s="99">
        <f t="shared" si="5"/>
        <v>356000000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355</v>
      </c>
      <c r="E212" s="99">
        <f t="shared" si="7"/>
        <v>1</v>
      </c>
      <c r="F212" s="99">
        <f t="shared" si="5"/>
        <v>477900000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354</v>
      </c>
      <c r="E213" s="99">
        <f t="shared" si="7"/>
        <v>0</v>
      </c>
      <c r="F213" s="99">
        <f t="shared" si="5"/>
        <v>-778800000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354</v>
      </c>
      <c r="E214" s="99">
        <f t="shared" si="7"/>
        <v>0</v>
      </c>
      <c r="F214" s="99">
        <f t="shared" si="5"/>
        <v>-177177000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351</v>
      </c>
      <c r="E215" s="99">
        <f t="shared" si="7"/>
        <v>0</v>
      </c>
      <c r="F215" s="99">
        <f t="shared" si="5"/>
        <v>-15795000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351</v>
      </c>
      <c r="E216" s="99">
        <f t="shared" si="7"/>
        <v>1</v>
      </c>
      <c r="F216" s="99">
        <f t="shared" si="5"/>
        <v>350000000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351</v>
      </c>
      <c r="E217" s="99">
        <f t="shared" si="7"/>
        <v>0</v>
      </c>
      <c r="F217" s="99">
        <f t="shared" si="5"/>
        <v>-35100000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350</v>
      </c>
      <c r="E218" s="99">
        <f t="shared" si="7"/>
        <v>0</v>
      </c>
      <c r="F218" s="99">
        <f t="shared" si="5"/>
        <v>-105000000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347</v>
      </c>
      <c r="E219" s="99">
        <f t="shared" si="7"/>
        <v>0</v>
      </c>
      <c r="F219" s="99">
        <f t="shared" si="5"/>
        <v>-17665770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347</v>
      </c>
      <c r="E220" s="99">
        <f t="shared" si="7"/>
        <v>0</v>
      </c>
      <c r="F220" s="99">
        <f t="shared" si="5"/>
        <v>-191023500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345</v>
      </c>
      <c r="E221" s="99">
        <f t="shared" si="7"/>
        <v>1</v>
      </c>
      <c r="F221" s="99">
        <f t="shared" si="5"/>
        <v>550400000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344</v>
      </c>
      <c r="E222" s="99">
        <f t="shared" si="7"/>
        <v>0</v>
      </c>
      <c r="F222" s="99">
        <f t="shared" si="5"/>
        <v>-516240800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339</v>
      </c>
      <c r="E223" s="99">
        <f t="shared" si="7"/>
        <v>1</v>
      </c>
      <c r="F223" s="99">
        <f t="shared" si="5"/>
        <v>2913222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336</v>
      </c>
      <c r="E224" s="99">
        <f t="shared" si="7"/>
        <v>1</v>
      </c>
      <c r="F224" s="99">
        <f t="shared" si="5"/>
        <v>1005000000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334</v>
      </c>
      <c r="E225" s="99">
        <f t="shared" si="7"/>
        <v>0</v>
      </c>
      <c r="F225" s="99">
        <f t="shared" si="5"/>
        <v>-1002300600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333</v>
      </c>
      <c r="E226" s="99">
        <f t="shared" si="7"/>
        <v>1</v>
      </c>
      <c r="F226" s="99">
        <f t="shared" si="5"/>
        <v>996000000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333</v>
      </c>
      <c r="E227" s="99">
        <f t="shared" si="7"/>
        <v>0</v>
      </c>
      <c r="F227" s="99">
        <f t="shared" si="5"/>
        <v>-58408200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332</v>
      </c>
      <c r="E228" s="99">
        <f t="shared" si="7"/>
        <v>0</v>
      </c>
      <c r="F228" s="99">
        <f t="shared" si="5"/>
        <v>-398566000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332</v>
      </c>
      <c r="E229" s="99">
        <f t="shared" si="7"/>
        <v>0</v>
      </c>
      <c r="F229" s="99">
        <f t="shared" si="5"/>
        <v>-6824260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331</v>
      </c>
      <c r="E230" s="99">
        <f t="shared" si="7"/>
        <v>0</v>
      </c>
      <c r="F230" s="99">
        <f t="shared" si="5"/>
        <v>-335788246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330</v>
      </c>
      <c r="E231" s="99">
        <f t="shared" si="7"/>
        <v>0</v>
      </c>
      <c r="F231" s="99">
        <f t="shared" si="5"/>
        <v>-7994250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329</v>
      </c>
      <c r="E232" s="99">
        <f t="shared" si="7"/>
        <v>1</v>
      </c>
      <c r="F232" s="99">
        <f t="shared" si="5"/>
        <v>360800000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329</v>
      </c>
      <c r="E233" s="99">
        <f t="shared" si="7"/>
        <v>0</v>
      </c>
      <c r="F233" s="99">
        <f t="shared" si="5"/>
        <v>-48659100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325</v>
      </c>
      <c r="E234" s="99">
        <f t="shared" si="7"/>
        <v>0</v>
      </c>
      <c r="F234" s="99">
        <f t="shared" si="5"/>
        <v>-22088625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320</v>
      </c>
      <c r="E235" s="99">
        <f t="shared" si="7"/>
        <v>0</v>
      </c>
      <c r="F235" s="99">
        <f t="shared" si="5"/>
        <v>-36714880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319</v>
      </c>
      <c r="E236" s="99">
        <f t="shared" si="7"/>
        <v>0</v>
      </c>
      <c r="F236" s="99">
        <f t="shared" si="5"/>
        <v>-114840000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319</v>
      </c>
      <c r="E237" s="99">
        <f t="shared" si="7"/>
        <v>0</v>
      </c>
      <c r="F237" s="99">
        <f t="shared" si="5"/>
        <v>-67309000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319</v>
      </c>
      <c r="E238" s="99">
        <f t="shared" si="7"/>
        <v>0</v>
      </c>
      <c r="F238" s="99">
        <f t="shared" si="5"/>
        <v>-60514300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318</v>
      </c>
      <c r="E239" s="99">
        <f t="shared" si="7"/>
        <v>0</v>
      </c>
      <c r="F239" s="99">
        <f t="shared" si="5"/>
        <v>-127359000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318</v>
      </c>
      <c r="E240" s="99">
        <f t="shared" si="7"/>
        <v>1</v>
      </c>
      <c r="F240" s="99">
        <f t="shared" si="5"/>
        <v>126800000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315</v>
      </c>
      <c r="E241" s="99">
        <f t="shared" si="7"/>
        <v>0</v>
      </c>
      <c r="F241" s="99">
        <f t="shared" si="5"/>
        <v>-101075625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308</v>
      </c>
      <c r="E242" s="99">
        <f t="shared" si="7"/>
        <v>1</v>
      </c>
      <c r="F242" s="99">
        <f t="shared" si="5"/>
        <v>1864718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306</v>
      </c>
      <c r="E243" s="99">
        <f t="shared" si="7"/>
        <v>0</v>
      </c>
      <c r="F243" s="99">
        <f t="shared" si="5"/>
        <v>-113373000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291</v>
      </c>
      <c r="E244" s="99">
        <f t="shared" si="7"/>
        <v>1</v>
      </c>
      <c r="F244" s="99">
        <f t="shared" si="5"/>
        <v>870000000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289</v>
      </c>
      <c r="E245" s="99">
        <f t="shared" si="7"/>
        <v>0</v>
      </c>
      <c r="F245" s="99">
        <f t="shared" si="5"/>
        <v>-23120000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288</v>
      </c>
      <c r="E246" s="99">
        <f t="shared" si="7"/>
        <v>0</v>
      </c>
      <c r="F246" s="99">
        <f t="shared" si="5"/>
        <v>-777600000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288</v>
      </c>
      <c r="E247" s="99">
        <f t="shared" si="7"/>
        <v>0</v>
      </c>
      <c r="F247" s="99">
        <f t="shared" si="5"/>
        <v>-8640000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286</v>
      </c>
      <c r="E248" s="99">
        <f t="shared" si="7"/>
        <v>0</v>
      </c>
      <c r="F248" s="99">
        <f t="shared" si="5"/>
        <v>-34320000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285</v>
      </c>
      <c r="E249" s="99">
        <f>IF(B250&gt;0,1,0)</f>
        <v>1</v>
      </c>
      <c r="F249" s="99">
        <f>B250*(D249-E249)</f>
        <v>227200000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284</v>
      </c>
      <c r="E250" s="99">
        <f>IF(B251&gt;0,1,0)</f>
        <v>0</v>
      </c>
      <c r="F250" s="99">
        <f>B251*(D250-E250)</f>
        <v>-5523800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283</v>
      </c>
      <c r="E251" s="99">
        <f>IF(B252&gt;0,1,0)</f>
        <v>0</v>
      </c>
      <c r="F251" s="99">
        <f>B252*(D251-E251)</f>
        <v>-141500000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283</v>
      </c>
      <c r="E252" s="99">
        <f>IF(B253&gt;0,1,0)</f>
        <v>1</v>
      </c>
      <c r="F252" s="99">
        <f>B253*(D252-E252)</f>
        <v>141000000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283</v>
      </c>
      <c r="E253" s="99">
        <f t="shared" ref="E253:E278" si="9">IF(B254&gt;0,1,0)</f>
        <v>0</v>
      </c>
      <c r="F253" s="99">
        <f>B254*(D253-E253)</f>
        <v>-128655479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283</v>
      </c>
      <c r="E254" s="99">
        <f t="shared" si="9"/>
        <v>0</v>
      </c>
      <c r="F254" s="99">
        <f t="shared" ref="F254:F278" si="10">B255*(D254-E254)</f>
        <v>-5546800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282</v>
      </c>
      <c r="E255" s="99">
        <f t="shared" si="9"/>
        <v>0</v>
      </c>
      <c r="F255" s="99">
        <f t="shared" si="10"/>
        <v>-7112040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282</v>
      </c>
      <c r="E256" s="99">
        <f t="shared" si="9"/>
        <v>0</v>
      </c>
      <c r="F256" s="99">
        <f t="shared" si="10"/>
        <v>-42159000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281</v>
      </c>
      <c r="E257" s="99">
        <f t="shared" si="9"/>
        <v>0</v>
      </c>
      <c r="F257" s="99">
        <f t="shared" si="10"/>
        <v>-43555000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281</v>
      </c>
      <c r="E258" s="99">
        <f t="shared" si="9"/>
        <v>0</v>
      </c>
      <c r="F258" s="99">
        <f t="shared" si="10"/>
        <v>-1405000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199</v>
      </c>
      <c r="E259" s="99">
        <f t="shared" si="9"/>
        <v>1</v>
      </c>
      <c r="F259" s="99">
        <f t="shared" si="10"/>
        <v>19800000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117</v>
      </c>
      <c r="E260" s="99">
        <f t="shared" si="9"/>
        <v>1</v>
      </c>
      <c r="F260" s="99">
        <f t="shared" si="10"/>
        <v>348000000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116</v>
      </c>
      <c r="E261" s="99">
        <f t="shared" si="9"/>
        <v>0</v>
      </c>
      <c r="F261" s="99">
        <f t="shared" si="10"/>
        <v>-7714000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113</v>
      </c>
      <c r="E262" s="99">
        <f t="shared" si="9"/>
        <v>0</v>
      </c>
      <c r="F262" s="99">
        <f t="shared" si="10"/>
        <v>-4280214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111</v>
      </c>
      <c r="E263" s="99">
        <f t="shared" si="9"/>
        <v>0</v>
      </c>
      <c r="F263" s="99">
        <f t="shared" si="10"/>
        <v>-4606500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109</v>
      </c>
      <c r="E264" s="99">
        <f t="shared" si="9"/>
        <v>0</v>
      </c>
      <c r="F264" s="99">
        <f t="shared" si="10"/>
        <v>-20710000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106</v>
      </c>
      <c r="E265" s="99">
        <f t="shared" si="9"/>
        <v>0</v>
      </c>
      <c r="F265" s="99">
        <f t="shared" si="10"/>
        <v>-5830000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105</v>
      </c>
      <c r="E266" s="99">
        <f t="shared" si="9"/>
        <v>0</v>
      </c>
      <c r="F266" s="99">
        <f t="shared" si="10"/>
        <v>-3086475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104</v>
      </c>
      <c r="E267" s="99">
        <f t="shared" si="9"/>
        <v>0</v>
      </c>
      <c r="F267" s="99">
        <f t="shared" si="10"/>
        <v>-5200000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102</v>
      </c>
      <c r="E268" s="99">
        <f t="shared" si="9"/>
        <v>0</v>
      </c>
      <c r="F268" s="99">
        <f t="shared" si="10"/>
        <v>-8160000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101</v>
      </c>
      <c r="E269" s="99">
        <f t="shared" si="9"/>
        <v>0</v>
      </c>
      <c r="F269" s="99">
        <f t="shared" si="10"/>
        <v>-9989809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100</v>
      </c>
      <c r="E270" s="99">
        <f t="shared" si="9"/>
        <v>0</v>
      </c>
      <c r="F270" s="99">
        <f t="shared" si="10"/>
        <v>-938000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97</v>
      </c>
      <c r="E271" s="99">
        <f t="shared" si="9"/>
        <v>0</v>
      </c>
      <c r="F271" s="99">
        <f t="shared" si="10"/>
        <v>-232800000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97</v>
      </c>
      <c r="E272" s="99">
        <f t="shared" si="9"/>
        <v>1</v>
      </c>
      <c r="F272" s="99">
        <f t="shared" si="10"/>
        <v>1440000</v>
      </c>
      <c r="G272" s="99"/>
    </row>
    <row r="273" spans="1:7">
      <c r="A273" s="99" t="s">
        <v>4638</v>
      </c>
      <c r="B273" s="113">
        <v>15000</v>
      </c>
      <c r="C273" s="99">
        <v>93</v>
      </c>
      <c r="D273" s="99">
        <f t="shared" si="8"/>
        <v>94</v>
      </c>
      <c r="E273" s="99">
        <f t="shared" si="9"/>
        <v>1</v>
      </c>
      <c r="F273" s="99">
        <f t="shared" si="10"/>
        <v>325500000</v>
      </c>
      <c r="G273" s="99"/>
    </row>
    <row r="274" spans="1:7">
      <c r="A274" s="99" t="s">
        <v>5034</v>
      </c>
      <c r="B274" s="113">
        <v>3500000</v>
      </c>
      <c r="C274" s="99">
        <v>1</v>
      </c>
      <c r="D274" s="99">
        <f t="shared" si="8"/>
        <v>1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3556737</v>
      </c>
      <c r="C280" s="11"/>
      <c r="D280" s="11"/>
      <c r="E280" s="11"/>
      <c r="F280" s="29">
        <f>SUM(F2:F278)</f>
        <v>19227623019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18173556.728733458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10" activePane="bottomLeft" state="frozen"/>
      <selection pane="bottomLeft" activeCell="M15" sqref="M15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249" t="s">
        <v>5009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4937</v>
      </c>
      <c r="B193" s="38">
        <v>-25000</v>
      </c>
      <c r="C193" s="11" t="s">
        <v>4947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1"/>
  <sheetViews>
    <sheetView tabSelected="1" topLeftCell="M39" zoomScaleNormal="100" workbookViewId="0">
      <selection activeCell="M39" sqref="M3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4898</v>
      </c>
      <c r="AT11" s="73" t="s">
        <v>4899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4969</v>
      </c>
      <c r="AT12" s="73" t="s">
        <v>4970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3556737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4971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484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516721741.70807731</v>
      </c>
      <c r="M21" s="168" t="s">
        <v>4301</v>
      </c>
      <c r="N21" s="113">
        <f t="shared" ref="N21:N26" si="9">O21*P21</f>
        <v>16436342.6</v>
      </c>
      <c r="O21" s="99">
        <v>82429</v>
      </c>
      <c r="P21" s="186">
        <f>P58</f>
        <v>199.4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-2310136</v>
      </c>
      <c r="M22" s="168" t="s">
        <v>4391</v>
      </c>
      <c r="N22" s="113">
        <f t="shared" si="9"/>
        <v>98386007.099999994</v>
      </c>
      <c r="O22" s="99">
        <v>25521</v>
      </c>
      <c r="P22" s="186">
        <f>P46</f>
        <v>3855.1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1183795.2</v>
      </c>
      <c r="O23" s="99">
        <v>8808</v>
      </c>
      <c r="P23" s="186">
        <f>P48</f>
        <v>134.4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475998115.70807731</v>
      </c>
      <c r="G24" s="95">
        <f t="shared" si="0"/>
        <v>-195691770.32613868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102075018.8</v>
      </c>
      <c r="O24" s="99">
        <v>154706</v>
      </c>
      <c r="P24" s="186">
        <f>P51</f>
        <v>659.8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94178685.100000009</v>
      </c>
      <c r="O25" s="99">
        <v>20491</v>
      </c>
      <c r="P25" s="186">
        <f>P52</f>
        <v>4596.1000000000004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4390958.8999999994</v>
      </c>
      <c r="O30" s="69">
        <v>1139</v>
      </c>
      <c r="P30" s="99">
        <f>P46</f>
        <v>3855.1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635387.39999999991</v>
      </c>
      <c r="O31" s="69">
        <v>963</v>
      </c>
      <c r="P31" s="99">
        <f>P51</f>
        <v>659.8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666434.5</v>
      </c>
      <c r="O32" s="69">
        <v>145</v>
      </c>
      <c r="P32" s="99">
        <f>P52</f>
        <v>4596.1000000000004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25060392.600000001</v>
      </c>
      <c r="O33" s="69">
        <v>125679</v>
      </c>
      <c r="P33" s="99">
        <f>P58</f>
        <v>199.4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-516721741.70807731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15000000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5007</v>
      </c>
      <c r="L43" s="117">
        <v>-135000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4994</v>
      </c>
      <c r="L44" s="117">
        <v>-700000</v>
      </c>
      <c r="M44" s="168" t="s">
        <v>4459</v>
      </c>
      <c r="N44" s="113">
        <v>1400071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123347779.59999999</v>
      </c>
      <c r="O46" s="99">
        <v>31996</v>
      </c>
      <c r="P46" s="99">
        <v>3855.1</v>
      </c>
      <c r="Q46" s="169">
        <v>1018599</v>
      </c>
      <c r="R46" s="215" t="s">
        <v>4905</v>
      </c>
      <c r="S46" s="198">
        <f>S45-19</f>
        <v>21</v>
      </c>
      <c r="T46" s="215" t="s">
        <v>4907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928400</v>
      </c>
      <c r="O47" s="69">
        <v>2000</v>
      </c>
      <c r="P47" s="69">
        <v>464.2</v>
      </c>
      <c r="Q47" s="169">
        <v>1001132</v>
      </c>
      <c r="R47" s="215" t="s">
        <v>4905</v>
      </c>
      <c r="S47" s="198">
        <f>S46</f>
        <v>21</v>
      </c>
      <c r="T47" s="215" t="s">
        <v>4908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119347.20000000001</v>
      </c>
      <c r="O48" s="69">
        <v>888</v>
      </c>
      <c r="P48" s="69">
        <v>134.4</v>
      </c>
      <c r="Q48" s="169">
        <v>5809833</v>
      </c>
      <c r="R48" s="215" t="s">
        <v>4924</v>
      </c>
      <c r="S48" s="198">
        <f>S47-2</f>
        <v>19</v>
      </c>
      <c r="T48" s="215" t="s">
        <v>4928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64779.999999999993</v>
      </c>
      <c r="O49" s="69">
        <v>50</v>
      </c>
      <c r="P49" s="69">
        <v>1295.5999999999999</v>
      </c>
      <c r="Q49" s="169">
        <v>22263826</v>
      </c>
      <c r="R49" s="215" t="s">
        <v>4924</v>
      </c>
      <c r="S49" s="198">
        <f>S48</f>
        <v>19</v>
      </c>
      <c r="T49" s="215" t="s">
        <v>4929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18</v>
      </c>
      <c r="T50" s="215" t="s">
        <v>4932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70489733</v>
      </c>
      <c r="O51" s="69">
        <v>106835</v>
      </c>
      <c r="P51" s="69">
        <v>659.8</v>
      </c>
      <c r="Q51" s="169">
        <v>931614</v>
      </c>
      <c r="R51" s="215" t="s">
        <v>4938</v>
      </c>
      <c r="S51" s="198">
        <f>S50-8</f>
        <v>10</v>
      </c>
      <c r="T51" s="215" t="s">
        <v>4940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37596098</v>
      </c>
      <c r="O52" s="69">
        <v>8180</v>
      </c>
      <c r="P52" s="69">
        <v>4596.1000000000004</v>
      </c>
      <c r="Q52" s="169">
        <v>533965</v>
      </c>
      <c r="R52" s="215" t="s">
        <v>4983</v>
      </c>
      <c r="S52" s="198">
        <f>S51-12</f>
        <v>-2</v>
      </c>
      <c r="T52" s="215" t="s">
        <v>4984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16601478.300000001</v>
      </c>
      <c r="O53" s="69">
        <v>2913</v>
      </c>
      <c r="P53" s="69">
        <v>5699.1</v>
      </c>
      <c r="Q53" s="169">
        <v>164707</v>
      </c>
      <c r="R53" s="215" t="s">
        <v>4999</v>
      </c>
      <c r="S53" s="198">
        <f>S52-6</f>
        <v>-8</v>
      </c>
      <c r="T53" s="215" t="s">
        <v>5000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4517070</v>
      </c>
      <c r="O54" s="69">
        <v>5100</v>
      </c>
      <c r="P54" s="69">
        <v>885.7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2462944</v>
      </c>
      <c r="O55" s="69">
        <v>6997</v>
      </c>
      <c r="P55" s="69">
        <v>352</v>
      </c>
      <c r="Q55" s="169">
        <f>SUM(N21:N26)-SUM(Q20:Q54)</f>
        <v>47495305.400000036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251641.59999999998</v>
      </c>
      <c r="O56" s="69">
        <v>1148</v>
      </c>
      <c r="P56" s="69">
        <v>219.2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1433300.0000000002</v>
      </c>
      <c r="O57" s="69">
        <v>5500</v>
      </c>
      <c r="P57" s="69">
        <v>260.60000000000002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257303766</v>
      </c>
      <c r="O58" s="99">
        <v>1290390</v>
      </c>
      <c r="P58" s="99">
        <v>199.4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500000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-10706583.6</v>
      </c>
      <c r="O64" s="99">
        <v>53694</v>
      </c>
      <c r="P64" s="99">
        <f>P58</f>
        <v>199.4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-S177</f>
        <v>-14630811.035773017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25000000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4905</v>
      </c>
      <c r="S69" s="198">
        <f>S68-26</f>
        <v>21</v>
      </c>
      <c r="T69" s="190" t="s">
        <v>4909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475998115.70807731</v>
      </c>
      <c r="M70" s="168"/>
      <c r="N70" s="113">
        <f>SUM(N16:N69)</f>
        <v>526187324.15614963</v>
      </c>
      <c r="Q70" s="169">
        <v>48217</v>
      </c>
      <c r="R70" s="215" t="s">
        <v>4924</v>
      </c>
      <c r="S70" s="198">
        <f>S69-2</f>
        <v>19</v>
      </c>
      <c r="T70" s="190" t="s">
        <v>4930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4121510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4933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545998115.70807731</v>
      </c>
      <c r="M72" s="113"/>
      <c r="N72" s="168"/>
      <c r="O72" s="115"/>
      <c r="P72" s="115"/>
      <c r="Q72" s="169">
        <v>102339</v>
      </c>
      <c r="R72" s="215" t="s">
        <v>4938</v>
      </c>
      <c r="S72" s="198">
        <f>S71-8</f>
        <v>10</v>
      </c>
      <c r="T72" s="190" t="s">
        <v>4939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4954</v>
      </c>
      <c r="S73" s="198">
        <f>S72-4</f>
        <v>6</v>
      </c>
      <c r="T73" s="190" t="s">
        <v>4957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4954</v>
      </c>
      <c r="S74" s="198">
        <f>S73</f>
        <v>6</v>
      </c>
      <c r="T74" s="190" t="s">
        <v>4958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32259750</v>
      </c>
      <c r="P75" s="115"/>
      <c r="Q75" s="169">
        <v>13517</v>
      </c>
      <c r="R75" s="5" t="s">
        <v>4954</v>
      </c>
      <c r="S75" s="198">
        <f>S74</f>
        <v>6</v>
      </c>
      <c r="T75" s="190" t="s">
        <v>4959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4954</v>
      </c>
      <c r="S76" s="198">
        <f>S75</f>
        <v>6</v>
      </c>
      <c r="T76" s="190" t="s">
        <v>4960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4983</v>
      </c>
      <c r="S77" s="198">
        <f>S76-8</f>
        <v>-2</v>
      </c>
      <c r="T77" s="190" t="s">
        <v>4985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4999</v>
      </c>
      <c r="S78" s="198">
        <f>S77-6</f>
        <v>-8</v>
      </c>
      <c r="T78" s="190" t="s">
        <v>5001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2580436.799999997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4869</v>
      </c>
      <c r="M84" s="96">
        <f>O58+O21+O33-O64</f>
        <v>1444804</v>
      </c>
      <c r="N84" s="113">
        <f>M84*P58</f>
        <v>288093917.60000002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4296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4986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25075.225677031092</v>
      </c>
      <c r="G109" s="200">
        <f>P58</f>
        <v>199.4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305000000</v>
      </c>
      <c r="M109" s="217">
        <f>N21+N33+N58</f>
        <v>298800501.19999999</v>
      </c>
      <c r="N109" s="184">
        <f t="shared" ref="N109:N117" si="27">L109-M109</f>
        <v>6199498.8000000119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789.11650516082193</v>
      </c>
      <c r="G110" s="215">
        <f>P50</f>
        <v>6336.2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170000000</v>
      </c>
      <c r="M110" s="1">
        <f>N26+N50+N29</f>
        <v>228819190.59999999</v>
      </c>
      <c r="N110" s="113">
        <f t="shared" si="27"/>
        <v>-58819190.599999994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4" si="28">V110*(1+$W$19/100)</f>
        <v>3715.4670099287678</v>
      </c>
      <c r="X110" s="32">
        <f t="shared" ref="X110:X164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1296.9832170371715</v>
      </c>
      <c r="G111" s="200">
        <f>P46</f>
        <v>3855.1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170000000</v>
      </c>
      <c r="M111" s="217">
        <f>N46+N30+N22</f>
        <v>226124745.59999999</v>
      </c>
      <c r="N111" s="184">
        <f t="shared" si="27"/>
        <v>-56124745.599999994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7578.0539557441653</v>
      </c>
      <c r="G112" s="215">
        <f>P51</f>
        <v>659.8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170000000</v>
      </c>
      <c r="M112" s="1">
        <f>N51+N24+N31</f>
        <v>173200139.20000002</v>
      </c>
      <c r="N112" s="113">
        <f t="shared" si="27"/>
        <v>-3200139.2000000179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877.33150848379569</v>
      </c>
      <c r="G113" s="200">
        <f>P53</f>
        <v>5699.1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35000000</v>
      </c>
      <c r="M113" s="217">
        <f>N53</f>
        <v>16601478.300000001</v>
      </c>
      <c r="N113" s="184">
        <f t="shared" si="27"/>
        <v>18398521.699999999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1087.8788538108395</v>
      </c>
      <c r="G114" s="215">
        <f>P52</f>
        <v>4596.1000000000004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170000000</v>
      </c>
      <c r="M114" s="1">
        <f>N52+N25</f>
        <v>131774783.10000001</v>
      </c>
      <c r="N114" s="113">
        <f t="shared" si="27"/>
        <v>38225216.899999991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10000000</v>
      </c>
      <c r="M115" s="217">
        <f>N54</f>
        <v>4517070</v>
      </c>
      <c r="N115" s="113">
        <f t="shared" si="27"/>
        <v>5482930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20000000</v>
      </c>
      <c r="M116" s="1">
        <f>N55</f>
        <v>2462944</v>
      </c>
      <c r="N116" s="113">
        <f t="shared" si="27"/>
        <v>17537056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5000000</v>
      </c>
      <c r="M117" s="217">
        <f>N47+N49+N57+N56</f>
        <v>2678121.6</v>
      </c>
      <c r="N117" s="184">
        <f t="shared" si="27"/>
        <v>2321878.4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4955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5000000</v>
      </c>
      <c r="M120" s="1">
        <f>K120*L120</f>
        <v>40000000</v>
      </c>
      <c r="N120" s="113">
        <f>SUM(N109:N118)-M120</f>
        <v>-19978973.600000001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4981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5004</v>
      </c>
      <c r="G125" s="129" t="s">
        <v>5005</v>
      </c>
      <c r="H125" s="4" t="s">
        <v>4954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3855.1</v>
      </c>
      <c r="H127" s="215" t="s">
        <v>4391</v>
      </c>
      <c r="I127" s="215">
        <v>3761</v>
      </c>
      <c r="J127" s="1">
        <f>I127*G127</f>
        <v>14499031.1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6336.2</v>
      </c>
      <c r="H128" s="215" t="s">
        <v>4395</v>
      </c>
      <c r="I128" s="215">
        <v>7163</v>
      </c>
      <c r="J128" s="1">
        <f>I128*G128</f>
        <v>45386200.600000001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659.8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4596.1000000000004</v>
      </c>
      <c r="H130" s="215" t="s">
        <v>4538</v>
      </c>
      <c r="I130" s="215">
        <v>130</v>
      </c>
      <c r="J130" s="1">
        <f>I130*G130</f>
        <v>597493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60482724.700000003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4965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3855.1</v>
      </c>
      <c r="H137" s="215" t="s">
        <v>4391</v>
      </c>
      <c r="I137" s="215">
        <v>1000</v>
      </c>
      <c r="J137" s="1">
        <f>I137*G137</f>
        <v>3855100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6336.2</v>
      </c>
      <c r="H138" s="215" t="s">
        <v>4966</v>
      </c>
      <c r="I138" s="215">
        <v>1000</v>
      </c>
      <c r="J138" s="1">
        <f t="shared" ref="J138:J140" si="36">I138*G138</f>
        <v>6336200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199.4</v>
      </c>
      <c r="H139" s="215" t="s">
        <v>4243</v>
      </c>
      <c r="I139" s="215">
        <v>108344</v>
      </c>
      <c r="J139" s="1">
        <f t="shared" si="36"/>
        <v>21603793.600000001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4596.1000000000004</v>
      </c>
      <c r="H140" s="215" t="s">
        <v>4538</v>
      </c>
      <c r="I140" s="215">
        <v>3</v>
      </c>
      <c r="J140" s="1">
        <f t="shared" si="36"/>
        <v>13788.300000000001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31808881.900000002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4898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4905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4913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4924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4938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4967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4969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4974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4969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4973</v>
      </c>
    </row>
    <row r="152" spans="10:44">
      <c r="P152" s="114"/>
      <c r="Q152" s="169">
        <v>101344</v>
      </c>
      <c r="R152" s="215" t="s">
        <v>4913</v>
      </c>
      <c r="S152" s="215">
        <f>S151-5</f>
        <v>20</v>
      </c>
      <c r="T152" s="215" t="s">
        <v>4916</v>
      </c>
      <c r="U152" s="215">
        <v>113.6</v>
      </c>
      <c r="V152" s="99">
        <f t="shared" ref="V152:V164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4992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10:44">
      <c r="Q153" s="169">
        <v>2148718</v>
      </c>
      <c r="R153" s="215" t="s">
        <v>4913</v>
      </c>
      <c r="S153" s="215">
        <f>S152</f>
        <v>20</v>
      </c>
      <c r="T153" s="215" t="s">
        <v>4917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>
        <v>133</v>
      </c>
      <c r="AI153" s="113" t="s">
        <v>5034</v>
      </c>
      <c r="AJ153" s="113">
        <v>1400000</v>
      </c>
      <c r="AK153" s="99">
        <v>1</v>
      </c>
      <c r="AL153" s="20">
        <f t="shared" si="39"/>
        <v>1</v>
      </c>
      <c r="AM153" s="117">
        <f t="shared" si="40"/>
        <v>1400000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4934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4938</v>
      </c>
      <c r="S155" s="215">
        <f>S154-8</f>
        <v>10</v>
      </c>
      <c r="T155" s="215" t="s">
        <v>4941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4967</v>
      </c>
      <c r="S156" s="215">
        <f>S155-10</f>
        <v>0</v>
      </c>
      <c r="T156" s="215" t="s">
        <v>4968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4969</v>
      </c>
      <c r="S157" s="215">
        <f>S156-1</f>
        <v>-1</v>
      </c>
      <c r="T157" s="215" t="s">
        <v>4977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4969</v>
      </c>
      <c r="S158" s="215">
        <f>S157</f>
        <v>-1</v>
      </c>
      <c r="T158" s="215" t="s">
        <v>4978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4969</v>
      </c>
      <c r="S159" s="215">
        <f>S158</f>
        <v>-1</v>
      </c>
      <c r="T159" s="215" t="s">
        <v>4979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4969</v>
      </c>
      <c r="S160" s="215">
        <f>S159</f>
        <v>-1</v>
      </c>
      <c r="T160" s="215" t="s">
        <v>4980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4983</v>
      </c>
      <c r="S161" s="215">
        <f>S160-1</f>
        <v>-2</v>
      </c>
      <c r="T161" s="215" t="s">
        <v>4987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4992</v>
      </c>
      <c r="S162" s="215">
        <f>S161-5</f>
        <v>-7</v>
      </c>
      <c r="T162" s="215" t="s">
        <v>4996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4999</v>
      </c>
      <c r="S163" s="215">
        <f>S162-1</f>
        <v>-8</v>
      </c>
      <c r="T163" s="215" t="s">
        <v>5002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/>
      <c r="R164" s="168"/>
      <c r="S164" s="168"/>
      <c r="T164" s="168"/>
      <c r="U164" s="168"/>
      <c r="V164" s="99">
        <f t="shared" si="41"/>
        <v>0</v>
      </c>
      <c r="W164" s="32">
        <f t="shared" si="28"/>
        <v>0</v>
      </c>
      <c r="X164" s="32">
        <f t="shared" si="29"/>
        <v>0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13">
        <f>SUM(N46:N59)-SUM(Q88:Q164)</f>
        <v>81942378.299999952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577964113</v>
      </c>
      <c r="AK165" s="99"/>
      <c r="AL165" s="99"/>
      <c r="AM165" s="95">
        <f>SUM(AM20:AM164)</f>
        <v>64735212117</v>
      </c>
      <c r="AN165" s="95">
        <f>AM165*AN168/31</f>
        <v>34804573.559807718</v>
      </c>
    </row>
    <row r="166" spans="6:40">
      <c r="P166" s="114"/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R170" s="32">
        <f>R168-R169</f>
        <v>1030</v>
      </c>
      <c r="S170" s="1">
        <f>R170*S168/R168</f>
        <v>5416529.5282258065</v>
      </c>
      <c r="V170" s="96"/>
      <c r="W170"/>
      <c r="X170" t="s">
        <v>25</v>
      </c>
      <c r="AH170" s="99"/>
      <c r="AI170" s="99" t="s">
        <v>4061</v>
      </c>
      <c r="AJ170" s="95">
        <f>AJ165+AN165</f>
        <v>612768686.55980778</v>
      </c>
      <c r="AK170" s="99"/>
      <c r="AL170" s="99"/>
      <c r="AM170" s="99"/>
      <c r="AN170" s="99"/>
    </row>
    <row r="171" spans="6:40">
      <c r="P171" s="114"/>
      <c r="V171" s="96"/>
      <c r="W171"/>
      <c r="AI171" t="s">
        <v>4064</v>
      </c>
      <c r="AJ171" s="114">
        <f>SUM(N44:N59)</f>
        <v>727119024.29999995</v>
      </c>
    </row>
    <row r="172" spans="6:40"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149154911.29999995</v>
      </c>
      <c r="AM172" t="s">
        <v>25</v>
      </c>
    </row>
    <row r="173" spans="6:40">
      <c r="P173" s="114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AI173" t="s">
        <v>943</v>
      </c>
      <c r="AJ173" s="114">
        <f>AN165</f>
        <v>34804573.559807718</v>
      </c>
      <c r="AN173" t="s">
        <v>25</v>
      </c>
    </row>
    <row r="174" spans="6:40">
      <c r="O174" s="96">
        <v>68796</v>
      </c>
      <c r="P174" s="114"/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114350337.74019217</v>
      </c>
      <c r="AN174" t="s">
        <v>25</v>
      </c>
    </row>
    <row r="175" spans="6:40">
      <c r="O175" s="96">
        <v>154791</v>
      </c>
      <c r="P175">
        <f>R176+15943</f>
        <v>1697191</v>
      </c>
      <c r="Q175" s="168" t="s">
        <v>751</v>
      </c>
      <c r="R175" s="56">
        <v>1722368</v>
      </c>
      <c r="S175" s="113">
        <f>R175*$T$257</f>
        <v>529359733.25901812</v>
      </c>
      <c r="T175" s="168"/>
      <c r="U175" s="168">
        <f>$Q$173*$T$173*S175/$R$199</f>
        <v>363.55766272941247</v>
      </c>
      <c r="V175" s="95">
        <f>S175+U175</f>
        <v>529360096.81668085</v>
      </c>
      <c r="W175" s="99">
        <f>R175*100/U254</f>
        <v>48.474355030588328</v>
      </c>
      <c r="X175" s="219"/>
      <c r="Y175" t="s">
        <v>25</v>
      </c>
      <c r="AM175" t="s">
        <v>25</v>
      </c>
    </row>
    <row r="176" spans="6:40">
      <c r="Q176" s="168" t="s">
        <v>4452</v>
      </c>
      <c r="R176" s="56">
        <v>1681248</v>
      </c>
      <c r="S176" s="113">
        <f>R176*$T$257</f>
        <v>516721741.70807731</v>
      </c>
      <c r="T176" s="168"/>
      <c r="U176" s="215">
        <f>$Q$173*$T$173*S176/$R$199</f>
        <v>354.87804775082861</v>
      </c>
      <c r="V176" s="95">
        <f t="shared" ref="V176:V177" si="42">S176+U176</f>
        <v>516722096.58612508</v>
      </c>
      <c r="W176" s="99">
        <f>R176*100/U254</f>
        <v>47.317073033443819</v>
      </c>
      <c r="X176" s="115"/>
      <c r="AJ176" t="s">
        <v>25</v>
      </c>
    </row>
    <row r="177" spans="16:44">
      <c r="Q177" s="168" t="s">
        <v>4451</v>
      </c>
      <c r="R177" s="56">
        <v>47604</v>
      </c>
      <c r="S177" s="113">
        <f>R177*$T$257</f>
        <v>14630811.035773017</v>
      </c>
      <c r="T177" s="168"/>
      <c r="U177" s="215">
        <f>$Q$173*$T$173*S177/$R$199</f>
        <v>10.048258546704856</v>
      </c>
      <c r="V177" s="95">
        <f t="shared" si="42"/>
        <v>14630821.084031563</v>
      </c>
      <c r="W177" s="99">
        <f>R177*100/U254</f>
        <v>1.3397678062273142</v>
      </c>
      <c r="X177" s="115"/>
    </row>
    <row r="178" spans="16:44">
      <c r="Q178" s="168" t="s">
        <v>1087</v>
      </c>
      <c r="R178" s="56">
        <v>101933</v>
      </c>
      <c r="S178" s="113">
        <f>R178*$T$257</f>
        <v>31328511.497131564</v>
      </c>
      <c r="T178" s="168"/>
      <c r="U178" s="215">
        <f>$Q$173*$T$173*S178/$R$199</f>
        <v>21.516030973054072</v>
      </c>
      <c r="V178" s="95">
        <f>S178+U178</f>
        <v>31328533.013162538</v>
      </c>
      <c r="W178" s="99">
        <f>R178*100/U254</f>
        <v>2.8688041297405431</v>
      </c>
      <c r="X178" s="115"/>
    </row>
    <row r="179" spans="16:44"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P181" s="114"/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255</v>
      </c>
      <c r="AM182" s="99">
        <f>AJ182*AL182</f>
        <v>906734100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253</v>
      </c>
      <c r="AM183" s="99">
        <f t="shared" ref="AM183:AM211" si="44">AJ183*AL183</f>
        <v>435371761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202</v>
      </c>
      <c r="AM184" s="99">
        <f t="shared" si="44"/>
        <v>30300000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199</v>
      </c>
      <c r="AM185" s="99">
        <f t="shared" si="44"/>
        <v>-18905000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191</v>
      </c>
      <c r="AM186" s="99">
        <f t="shared" si="44"/>
        <v>601650000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175</v>
      </c>
      <c r="AM187" s="99">
        <f t="shared" si="44"/>
        <v>-11375000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174</v>
      </c>
      <c r="AM188" s="99">
        <f t="shared" si="44"/>
        <v>-16530000</v>
      </c>
      <c r="AN188" s="99"/>
    </row>
    <row r="189" spans="16:44">
      <c r="Q189" s="36" t="s">
        <v>4572</v>
      </c>
      <c r="R189" s="95">
        <f>SUM(N46:N59)</f>
        <v>725718953.29999995</v>
      </c>
      <c r="T189" s="113" t="s">
        <v>4462</v>
      </c>
      <c r="U189" s="56">
        <v>1000000</v>
      </c>
      <c r="V189" s="113">
        <v>239.024</v>
      </c>
      <c r="W189" s="113">
        <f t="shared" ref="W189:W251" si="45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168</v>
      </c>
      <c r="AM189" s="99">
        <f t="shared" si="44"/>
        <v>38976000</v>
      </c>
      <c r="AN189" s="99"/>
    </row>
    <row r="190" spans="16:44">
      <c r="Q190" s="99" t="s">
        <v>4453</v>
      </c>
      <c r="R190" s="95">
        <f>SUM(N21:N26)</f>
        <v>323842422.40000004</v>
      </c>
      <c r="T190" s="168" t="s">
        <v>4444</v>
      </c>
      <c r="U190" s="56">
        <v>5904</v>
      </c>
      <c r="V190" s="113">
        <v>237.148</v>
      </c>
      <c r="W190" s="113">
        <f t="shared" si="45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161</v>
      </c>
      <c r="AM190" s="99">
        <f t="shared" si="44"/>
        <v>2093000000</v>
      </c>
      <c r="AN190" s="99"/>
    </row>
    <row r="191" spans="16:44">
      <c r="Q191" s="99" t="s">
        <v>4454</v>
      </c>
      <c r="R191" s="95">
        <f>SUM(N29:N33)</f>
        <v>37387174.799999997</v>
      </c>
      <c r="T191" s="168" t="s">
        <v>4232</v>
      </c>
      <c r="U191" s="168">
        <v>1000</v>
      </c>
      <c r="V191" s="113">
        <v>247.393</v>
      </c>
      <c r="W191" s="113">
        <f t="shared" si="45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159</v>
      </c>
      <c r="AM191" s="99">
        <f t="shared" si="44"/>
        <v>1590000000</v>
      </c>
      <c r="AN191" s="99"/>
    </row>
    <row r="192" spans="16:44">
      <c r="Q192" s="99" t="s">
        <v>4455</v>
      </c>
      <c r="R192" s="95">
        <f>N44</f>
        <v>1400071</v>
      </c>
      <c r="T192" s="168" t="s">
        <v>4498</v>
      </c>
      <c r="U192" s="168">
        <v>8071</v>
      </c>
      <c r="V192" s="113">
        <v>247.797</v>
      </c>
      <c r="W192" s="113">
        <f t="shared" si="45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156</v>
      </c>
      <c r="AM192" s="99">
        <f t="shared" si="44"/>
        <v>530400000</v>
      </c>
      <c r="AN192" s="99"/>
    </row>
    <row r="193" spans="16:44">
      <c r="Q193" s="99" t="s">
        <v>4456</v>
      </c>
      <c r="R193" s="95">
        <f>N20</f>
        <v>484</v>
      </c>
      <c r="T193" s="168" t="s">
        <v>4498</v>
      </c>
      <c r="U193" s="168">
        <v>53672</v>
      </c>
      <c r="V193" s="113">
        <v>247.797</v>
      </c>
      <c r="W193" s="113">
        <f t="shared" si="45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147</v>
      </c>
      <c r="AM193" s="99">
        <f t="shared" si="44"/>
        <v>-1284267558</v>
      </c>
      <c r="AN193" s="99"/>
    </row>
    <row r="194" spans="16:44">
      <c r="Q194" s="99" t="s">
        <v>4457</v>
      </c>
      <c r="R194" s="95">
        <f>N28</f>
        <v>417</v>
      </c>
      <c r="T194" s="168" t="s">
        <v>4506</v>
      </c>
      <c r="U194" s="168">
        <v>4099</v>
      </c>
      <c r="V194" s="113">
        <v>243.93</v>
      </c>
      <c r="W194" s="113">
        <f t="shared" si="45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146</v>
      </c>
      <c r="AM194" s="99">
        <f t="shared" si="44"/>
        <v>81030000</v>
      </c>
      <c r="AN194" s="99"/>
    </row>
    <row r="195" spans="16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45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141</v>
      </c>
      <c r="AM195" s="99">
        <f t="shared" si="44"/>
        <v>-63211428</v>
      </c>
      <c r="AN195" s="99"/>
    </row>
    <row r="196" spans="16:44">
      <c r="Q196" s="99" t="s">
        <v>5035</v>
      </c>
      <c r="R196" s="95">
        <v>3500000</v>
      </c>
      <c r="T196" s="168" t="s">
        <v>4512</v>
      </c>
      <c r="U196" s="168">
        <v>8334</v>
      </c>
      <c r="V196" s="113">
        <v>239.97</v>
      </c>
      <c r="W196" s="113">
        <f t="shared" si="45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135</v>
      </c>
      <c r="AM196" s="99">
        <f t="shared" si="44"/>
        <v>4485375</v>
      </c>
      <c r="AN196" s="99"/>
    </row>
    <row r="197" spans="16:44">
      <c r="Q197" s="99" t="s">
        <v>4936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45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135</v>
      </c>
      <c r="AM197" s="149">
        <f t="shared" si="44"/>
        <v>553300605</v>
      </c>
      <c r="AN197" s="149" t="s">
        <v>657</v>
      </c>
    </row>
    <row r="198" spans="16:44">
      <c r="Q198" s="99" t="s">
        <v>4718</v>
      </c>
      <c r="R198" s="95">
        <v>-8725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45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133</v>
      </c>
      <c r="AM198" s="149">
        <f t="shared" si="44"/>
        <v>-133000000</v>
      </c>
      <c r="AN198" s="149" t="s">
        <v>657</v>
      </c>
    </row>
    <row r="199" spans="16:44">
      <c r="Q199" s="99" t="s">
        <v>4461</v>
      </c>
      <c r="R199" s="95">
        <f>SUM(R189:R198)</f>
        <v>1092040797.5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45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126</v>
      </c>
      <c r="AM199" s="149">
        <f t="shared" si="44"/>
        <v>94500000</v>
      </c>
      <c r="AN199" s="149" t="s">
        <v>657</v>
      </c>
      <c r="AQ199" t="s">
        <v>25</v>
      </c>
    </row>
    <row r="200" spans="16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45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125</v>
      </c>
      <c r="AM200" s="196">
        <f t="shared" si="44"/>
        <v>-75519000</v>
      </c>
      <c r="AN200" s="196" t="s">
        <v>657</v>
      </c>
    </row>
    <row r="201" spans="16:44"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45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125</v>
      </c>
      <c r="AM201" s="99">
        <f t="shared" si="44"/>
        <v>-73385375</v>
      </c>
      <c r="AN201" s="99"/>
    </row>
    <row r="202" spans="16:44">
      <c r="Q202" s="96"/>
      <c r="R202" s="182"/>
      <c r="T202" s="168" t="s">
        <v>4635</v>
      </c>
      <c r="U202" s="168">
        <v>172025</v>
      </c>
      <c r="V202" s="113">
        <v>245.52809999999999</v>
      </c>
      <c r="W202" s="113">
        <f t="shared" si="45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121</v>
      </c>
      <c r="AM202" s="196">
        <f t="shared" si="44"/>
        <v>-91276471</v>
      </c>
      <c r="AN202" s="196" t="s">
        <v>657</v>
      </c>
      <c r="AR202" t="s">
        <v>25</v>
      </c>
    </row>
    <row r="203" spans="16:44">
      <c r="Q203" s="96"/>
      <c r="R203" s="115"/>
      <c r="T203" s="168" t="s">
        <v>4635</v>
      </c>
      <c r="U203" s="168">
        <v>189227</v>
      </c>
      <c r="V203" s="113">
        <v>245.52809999999999</v>
      </c>
      <c r="W203" s="113">
        <f t="shared" si="45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121</v>
      </c>
      <c r="AM203" s="99">
        <f t="shared" si="44"/>
        <v>-22943899</v>
      </c>
      <c r="AN203" s="99"/>
    </row>
    <row r="204" spans="16:44">
      <c r="T204" s="168" t="s">
        <v>4638</v>
      </c>
      <c r="U204" s="168">
        <v>79720</v>
      </c>
      <c r="V204" s="113">
        <v>246.6568</v>
      </c>
      <c r="W204" s="113">
        <f t="shared" si="45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106</v>
      </c>
      <c r="AM204" s="196">
        <f t="shared" si="44"/>
        <v>752600</v>
      </c>
      <c r="AN204" s="196" t="s">
        <v>657</v>
      </c>
    </row>
    <row r="205" spans="16:44">
      <c r="P205" s="99" t="s">
        <v>8</v>
      </c>
      <c r="Q205" s="99" t="s">
        <v>4451</v>
      </c>
      <c r="R205" s="99"/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106</v>
      </c>
      <c r="AM205" s="20">
        <f t="shared" si="44"/>
        <v>-15677612</v>
      </c>
      <c r="AN205" s="20"/>
      <c r="AR205" t="s">
        <v>25</v>
      </c>
    </row>
    <row r="206" spans="16:44">
      <c r="P206" s="99"/>
      <c r="Q206" s="36" t="s">
        <v>180</v>
      </c>
      <c r="R206" s="99" t="s">
        <v>267</v>
      </c>
      <c r="T206" s="168" t="s">
        <v>4665</v>
      </c>
      <c r="U206" s="168">
        <v>17769</v>
      </c>
      <c r="V206" s="113">
        <v>246.17877999999999</v>
      </c>
      <c r="W206" s="113">
        <f t="shared" si="45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103</v>
      </c>
      <c r="AM206" s="196">
        <f t="shared" si="44"/>
        <v>-3831600</v>
      </c>
      <c r="AN206" s="149" t="s">
        <v>657</v>
      </c>
    </row>
    <row r="207" spans="16:44">
      <c r="P207" s="99"/>
      <c r="Q207" s="99" t="s">
        <v>4444</v>
      </c>
      <c r="R207" s="95">
        <v>3000000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99</v>
      </c>
      <c r="AM207" s="20">
        <f t="shared" si="44"/>
        <v>-36860274</v>
      </c>
      <c r="AN207" s="99"/>
    </row>
    <row r="208" spans="16:44">
      <c r="P208" s="99"/>
      <c r="Q208" s="99" t="s">
        <v>4498</v>
      </c>
      <c r="R208" s="95">
        <v>2000000</v>
      </c>
      <c r="T208" s="168" t="s">
        <v>4671</v>
      </c>
      <c r="U208" s="168">
        <v>12438</v>
      </c>
      <c r="V208" s="113">
        <v>241.20465999999999</v>
      </c>
      <c r="W208" s="113">
        <f t="shared" si="45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78</v>
      </c>
      <c r="AM208" s="20">
        <f t="shared" si="44"/>
        <v>18334836</v>
      </c>
      <c r="AN208" s="99"/>
    </row>
    <row r="209" spans="16:45">
      <c r="P209" s="99"/>
      <c r="Q209" s="99" t="s">
        <v>4506</v>
      </c>
      <c r="R209" s="95">
        <v>1000000</v>
      </c>
      <c r="T209" s="168" t="s">
        <v>4681</v>
      </c>
      <c r="U209" s="168">
        <v>27363</v>
      </c>
      <c r="V209" s="113">
        <v>239.3886</v>
      </c>
      <c r="W209" s="113">
        <f t="shared" si="45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78</v>
      </c>
      <c r="AM209" s="149">
        <f t="shared" si="44"/>
        <v>18334836</v>
      </c>
      <c r="AN209" s="149" t="s">
        <v>657</v>
      </c>
      <c r="AP209" t="s">
        <v>25</v>
      </c>
    </row>
    <row r="210" spans="16:45">
      <c r="P210" s="99"/>
      <c r="Q210" s="99" t="s">
        <v>4512</v>
      </c>
      <c r="R210" s="95">
        <v>2000000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69</v>
      </c>
      <c r="AM210" s="149">
        <f t="shared" si="44"/>
        <v>31050000</v>
      </c>
      <c r="AN210" s="149" t="s">
        <v>657</v>
      </c>
    </row>
    <row r="211" spans="16:45">
      <c r="P211" s="99"/>
      <c r="Q211" s="99" t="s">
        <v>994</v>
      </c>
      <c r="R211" s="95">
        <v>3000000</v>
      </c>
      <c r="T211" s="212" t="s">
        <v>4685</v>
      </c>
      <c r="U211" s="212">
        <v>27437</v>
      </c>
      <c r="V211" s="113">
        <v>242.4015</v>
      </c>
      <c r="W211" s="113">
        <f t="shared" si="45"/>
        <v>6650769.9555000002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69</v>
      </c>
      <c r="AM211" s="20">
        <f t="shared" si="44"/>
        <v>31050000</v>
      </c>
      <c r="AN211" s="20"/>
      <c r="AR211" t="s">
        <v>25</v>
      </c>
    </row>
    <row r="212" spans="16:45">
      <c r="P212" s="99"/>
      <c r="Q212" s="99" t="s">
        <v>4671</v>
      </c>
      <c r="R212" s="95">
        <v>3000000</v>
      </c>
      <c r="T212" s="212" t="s">
        <v>4685</v>
      </c>
      <c r="U212" s="212">
        <v>29104</v>
      </c>
      <c r="V212" s="113">
        <v>242.4015</v>
      </c>
      <c r="W212" s="113">
        <f t="shared" si="45"/>
        <v>7054853.2560000001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30" si="47">AK212+AL213</f>
        <v>47</v>
      </c>
      <c r="AM212" s="149">
        <f t="shared" ref="AM212:AM215" si="48">AJ212*AL212</f>
        <v>14100000</v>
      </c>
      <c r="AN212" s="149"/>
      <c r="AQ212" t="s">
        <v>25</v>
      </c>
    </row>
    <row r="213" spans="16:45" ht="30">
      <c r="P213" s="99" t="s">
        <v>4920</v>
      </c>
      <c r="Q213" s="99" t="s">
        <v>4913</v>
      </c>
      <c r="R213" s="95">
        <v>-800000</v>
      </c>
      <c r="T213" s="215" t="s">
        <v>4722</v>
      </c>
      <c r="U213" s="215">
        <v>8991</v>
      </c>
      <c r="V213" s="113">
        <v>238.64867000000001</v>
      </c>
      <c r="W213" s="113">
        <f t="shared" si="45"/>
        <v>2145690.19197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47</v>
      </c>
      <c r="AM213" s="121">
        <f t="shared" si="48"/>
        <v>13579992</v>
      </c>
      <c r="AN213" s="207" t="s">
        <v>4754</v>
      </c>
    </row>
    <row r="214" spans="16:45">
      <c r="P214" s="99" t="s">
        <v>4921</v>
      </c>
      <c r="Q214" s="99" t="s">
        <v>4913</v>
      </c>
      <c r="R214" s="95">
        <v>-900000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452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44</v>
      </c>
      <c r="AM214" s="121">
        <f t="shared" si="48"/>
        <v>790349604</v>
      </c>
      <c r="AN214" s="121" t="s">
        <v>4759</v>
      </c>
    </row>
    <row r="215" spans="16:45">
      <c r="P215" s="99" t="s">
        <v>4921</v>
      </c>
      <c r="Q215" s="99" t="s">
        <v>981</v>
      </c>
      <c r="R215" s="95">
        <v>-1100000</v>
      </c>
      <c r="T215" s="215" t="s">
        <v>4737</v>
      </c>
      <c r="U215" s="215">
        <v>18170</v>
      </c>
      <c r="V215" s="113">
        <v>240.48475999999999</v>
      </c>
      <c r="W215" s="113">
        <f t="shared" si="45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43</v>
      </c>
      <c r="AM215" s="121">
        <f t="shared" si="48"/>
        <v>789630973</v>
      </c>
      <c r="AN215" s="121" t="s">
        <v>4759</v>
      </c>
    </row>
    <row r="216" spans="16:45">
      <c r="P216" s="196" t="s">
        <v>1087</v>
      </c>
      <c r="Q216" s="196" t="s">
        <v>4954</v>
      </c>
      <c r="R216" s="245">
        <v>30000000</v>
      </c>
      <c r="S216" t="s">
        <v>25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42</v>
      </c>
      <c r="AM216" s="121">
        <f t="shared" ref="AM216:AM231" si="49">AJ216*AL216</f>
        <v>992141514</v>
      </c>
      <c r="AN216" s="121" t="s">
        <v>4774</v>
      </c>
      <c r="AS216" t="s">
        <v>25</v>
      </c>
    </row>
    <row r="217" spans="16:45">
      <c r="P217" s="99"/>
      <c r="Q217" s="99"/>
      <c r="R217" s="95"/>
      <c r="T217" s="215" t="s">
        <v>4741</v>
      </c>
      <c r="U217" s="215">
        <v>36797</v>
      </c>
      <c r="V217" s="113">
        <v>239.0822</v>
      </c>
      <c r="W217" s="113">
        <f t="shared" si="45"/>
        <v>8797507.7134000007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37</v>
      </c>
      <c r="AM217" s="121">
        <f t="shared" si="49"/>
        <v>3052355996</v>
      </c>
      <c r="AN217" s="121" t="s">
        <v>4794</v>
      </c>
    </row>
    <row r="218" spans="16:45">
      <c r="P218" s="99"/>
      <c r="Q218" s="99"/>
      <c r="R218" s="95">
        <f>SUM(R207:R216)</f>
        <v>41200000</v>
      </c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36</v>
      </c>
      <c r="AM218" s="121">
        <f t="shared" si="49"/>
        <v>2687672196</v>
      </c>
      <c r="AN218" s="121" t="s">
        <v>4802</v>
      </c>
    </row>
    <row r="219" spans="16:45">
      <c r="P219" s="99"/>
      <c r="Q219" s="99"/>
      <c r="R219" s="99" t="s">
        <v>6</v>
      </c>
      <c r="T219" s="215" t="s">
        <v>4752</v>
      </c>
      <c r="U219" s="215">
        <v>28066</v>
      </c>
      <c r="V219" s="113">
        <v>237.56970000000001</v>
      </c>
      <c r="W219" s="113">
        <f t="shared" si="45"/>
        <v>6667631.2002000008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20</v>
      </c>
      <c r="AM219" s="20">
        <f t="shared" si="49"/>
        <v>13300000</v>
      </c>
      <c r="AN219" s="99"/>
    </row>
    <row r="220" spans="16:45"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20</v>
      </c>
      <c r="AM220" s="196">
        <f t="shared" ref="AM220:AM221" si="50">AJ220*AL220</f>
        <v>13300000</v>
      </c>
      <c r="AN220" s="196"/>
    </row>
    <row r="221" spans="16:45">
      <c r="Q221" s="96"/>
      <c r="R221" s="96" t="s">
        <v>25</v>
      </c>
      <c r="T221" s="215" t="s">
        <v>3684</v>
      </c>
      <c r="U221" s="215">
        <v>37457</v>
      </c>
      <c r="V221" s="113">
        <v>239.77</v>
      </c>
      <c r="W221" s="113">
        <f t="shared" si="45"/>
        <v>8981064.8900000006</v>
      </c>
      <c r="X221" s="99" t="s">
        <v>751</v>
      </c>
      <c r="AH221" s="20">
        <v>40</v>
      </c>
      <c r="AI221" s="20" t="s">
        <v>4905</v>
      </c>
      <c r="AJ221" s="117">
        <v>2000000</v>
      </c>
      <c r="AK221" s="20">
        <v>1</v>
      </c>
      <c r="AL221" s="99">
        <f t="shared" si="47"/>
        <v>16</v>
      </c>
      <c r="AM221" s="20">
        <f t="shared" si="50"/>
        <v>32000000</v>
      </c>
      <c r="AN221" s="99"/>
    </row>
    <row r="222" spans="16:45">
      <c r="Q222" s="96"/>
      <c r="R222" s="96"/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452</v>
      </c>
      <c r="Y222" s="96"/>
      <c r="AH222" s="20">
        <v>41</v>
      </c>
      <c r="AI222" s="20" t="s">
        <v>4913</v>
      </c>
      <c r="AJ222" s="117">
        <v>-2060725</v>
      </c>
      <c r="AK222" s="20">
        <v>0</v>
      </c>
      <c r="AL222" s="99">
        <f t="shared" si="47"/>
        <v>15</v>
      </c>
      <c r="AM222" s="20">
        <f t="shared" ref="AM222:AM230" si="51">AJ222*AL222</f>
        <v>-30910875</v>
      </c>
      <c r="AN222" s="99" t="s">
        <v>4914</v>
      </c>
    </row>
    <row r="223" spans="16:45">
      <c r="T223" s="215" t="s">
        <v>4765</v>
      </c>
      <c r="U223" s="215">
        <v>38412</v>
      </c>
      <c r="V223" s="113">
        <v>239.03</v>
      </c>
      <c r="W223" s="113">
        <f t="shared" si="45"/>
        <v>9181620.3599999994</v>
      </c>
      <c r="X223" s="99" t="s">
        <v>751</v>
      </c>
      <c r="Y223" t="s">
        <v>25</v>
      </c>
      <c r="AH223" s="149">
        <v>42</v>
      </c>
      <c r="AI223" s="149" t="s">
        <v>4913</v>
      </c>
      <c r="AJ223" s="189">
        <v>-433375</v>
      </c>
      <c r="AK223" s="149">
        <v>0</v>
      </c>
      <c r="AL223" s="149">
        <f t="shared" si="47"/>
        <v>15</v>
      </c>
      <c r="AM223" s="149">
        <f t="shared" si="51"/>
        <v>-6500625</v>
      </c>
      <c r="AN223" s="149" t="s">
        <v>4915</v>
      </c>
    </row>
    <row r="224" spans="16:45">
      <c r="Q224" s="99" t="s">
        <v>751</v>
      </c>
      <c r="R224" s="99"/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452</v>
      </c>
      <c r="Z224" t="s">
        <v>25</v>
      </c>
      <c r="AH224" s="20">
        <v>43</v>
      </c>
      <c r="AI224" s="20" t="s">
        <v>4913</v>
      </c>
      <c r="AJ224" s="117">
        <v>28000000</v>
      </c>
      <c r="AK224" s="20">
        <v>1</v>
      </c>
      <c r="AL224" s="99">
        <f t="shared" si="47"/>
        <v>15</v>
      </c>
      <c r="AM224" s="20">
        <f t="shared" si="51"/>
        <v>420000000</v>
      </c>
      <c r="AN224" s="99" t="s">
        <v>3891</v>
      </c>
    </row>
    <row r="225" spans="17:40">
      <c r="Q225" s="99" t="s">
        <v>4444</v>
      </c>
      <c r="R225" s="95">
        <v>172908000</v>
      </c>
      <c r="T225" s="215" t="s">
        <v>4775</v>
      </c>
      <c r="U225" s="215">
        <v>49555</v>
      </c>
      <c r="V225" s="113">
        <v>238.345</v>
      </c>
      <c r="W225" s="113">
        <f t="shared" si="45"/>
        <v>11811186.475</v>
      </c>
      <c r="X225" s="99" t="s">
        <v>751</v>
      </c>
      <c r="AH225" s="20">
        <v>44</v>
      </c>
      <c r="AI225" s="20" t="s">
        <v>4924</v>
      </c>
      <c r="AJ225" s="117">
        <v>160000</v>
      </c>
      <c r="AK225" s="20">
        <v>0</v>
      </c>
      <c r="AL225" s="99">
        <f t="shared" si="47"/>
        <v>14</v>
      </c>
      <c r="AM225" s="20">
        <f t="shared" si="51"/>
        <v>2240000</v>
      </c>
      <c r="AN225" s="99"/>
    </row>
    <row r="226" spans="17:40">
      <c r="Q226" s="99" t="s">
        <v>4485</v>
      </c>
      <c r="R226" s="95">
        <v>1400000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452</v>
      </c>
      <c r="AH226" s="149">
        <v>45</v>
      </c>
      <c r="AI226" s="149" t="s">
        <v>4924</v>
      </c>
      <c r="AJ226" s="189">
        <v>70000</v>
      </c>
      <c r="AK226" s="149">
        <v>9</v>
      </c>
      <c r="AL226" s="149">
        <f t="shared" si="47"/>
        <v>14</v>
      </c>
      <c r="AM226" s="149">
        <f t="shared" si="51"/>
        <v>980000</v>
      </c>
      <c r="AN226" s="149"/>
    </row>
    <row r="227" spans="17:40">
      <c r="Q227" s="99" t="s">
        <v>4232</v>
      </c>
      <c r="R227" s="95">
        <v>247393</v>
      </c>
      <c r="T227" s="215" t="s">
        <v>4793</v>
      </c>
      <c r="U227" s="215">
        <v>160187</v>
      </c>
      <c r="V227" s="113">
        <v>257.49799999999999</v>
      </c>
      <c r="W227" s="113">
        <f t="shared" si="45"/>
        <v>41247832.126000002</v>
      </c>
      <c r="X227" s="99" t="s">
        <v>751</v>
      </c>
      <c r="AH227" s="20">
        <v>46</v>
      </c>
      <c r="AI227" s="20" t="s">
        <v>4938</v>
      </c>
      <c r="AJ227" s="117">
        <v>850000</v>
      </c>
      <c r="AK227" s="20">
        <v>0</v>
      </c>
      <c r="AL227" s="99">
        <f t="shared" si="47"/>
        <v>5</v>
      </c>
      <c r="AM227" s="20">
        <f t="shared" si="51"/>
        <v>4250000</v>
      </c>
      <c r="AN227" s="99"/>
    </row>
    <row r="228" spans="17:40">
      <c r="Q228" s="99" t="s">
        <v>4231</v>
      </c>
      <c r="R228" s="95">
        <v>6780000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452</v>
      </c>
      <c r="AH228" s="196">
        <v>47</v>
      </c>
      <c r="AI228" s="196" t="s">
        <v>4938</v>
      </c>
      <c r="AJ228" s="197">
        <v>20000</v>
      </c>
      <c r="AK228" s="196">
        <v>4</v>
      </c>
      <c r="AL228" s="196">
        <f t="shared" si="47"/>
        <v>5</v>
      </c>
      <c r="AM228" s="196">
        <f t="shared" si="51"/>
        <v>100000</v>
      </c>
      <c r="AN228" s="196"/>
    </row>
    <row r="229" spans="17:40">
      <c r="Q229" s="99" t="s">
        <v>4595</v>
      </c>
      <c r="R229" s="95">
        <v>-4000000</v>
      </c>
      <c r="S229" t="s">
        <v>25</v>
      </c>
      <c r="T229" s="215" t="s">
        <v>4803</v>
      </c>
      <c r="U229" s="215">
        <v>144401</v>
      </c>
      <c r="V229" s="113">
        <v>258.5061</v>
      </c>
      <c r="W229" s="113">
        <f t="shared" si="45"/>
        <v>37328539.346100003</v>
      </c>
      <c r="X229" s="99" t="s">
        <v>751</v>
      </c>
      <c r="AH229" s="196">
        <v>48</v>
      </c>
      <c r="AI229" s="196" t="s">
        <v>4954</v>
      </c>
      <c r="AJ229" s="197">
        <v>30000000</v>
      </c>
      <c r="AK229" s="196">
        <v>1</v>
      </c>
      <c r="AL229" s="196">
        <f t="shared" si="47"/>
        <v>1</v>
      </c>
      <c r="AM229" s="196">
        <f t="shared" si="51"/>
        <v>30000000</v>
      </c>
      <c r="AN229" s="196" t="s">
        <v>4956</v>
      </c>
    </row>
    <row r="230" spans="17:40">
      <c r="Q230" s="99" t="s">
        <v>4628</v>
      </c>
      <c r="R230" s="95">
        <v>16727037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452</v>
      </c>
      <c r="AH230" s="99"/>
      <c r="AI230" s="99"/>
      <c r="AJ230" s="117"/>
      <c r="AK230" s="99"/>
      <c r="AL230" s="99">
        <f t="shared" si="47"/>
        <v>0</v>
      </c>
      <c r="AM230" s="20">
        <f t="shared" si="51"/>
        <v>0</v>
      </c>
      <c r="AN230" s="99"/>
    </row>
    <row r="231" spans="17:40">
      <c r="Q231" s="99" t="s">
        <v>4635</v>
      </c>
      <c r="R231" s="95">
        <v>46460683</v>
      </c>
      <c r="T231" s="168" t="s">
        <v>4812</v>
      </c>
      <c r="U231" s="168">
        <v>196500</v>
      </c>
      <c r="V231" s="113">
        <v>254.452</v>
      </c>
      <c r="W231" s="113">
        <f t="shared" si="45"/>
        <v>49999818</v>
      </c>
      <c r="X231" s="99" t="s">
        <v>4820</v>
      </c>
      <c r="AH231" s="99"/>
      <c r="AI231" s="99"/>
      <c r="AJ231" s="117"/>
      <c r="AK231" s="99"/>
      <c r="AL231" s="99">
        <f t="shared" ref="AL231" si="52">AK231+AL234</f>
        <v>0</v>
      </c>
      <c r="AM231" s="99">
        <f t="shared" si="49"/>
        <v>0</v>
      </c>
      <c r="AN231" s="99"/>
    </row>
    <row r="232" spans="17:40">
      <c r="Q232" s="99" t="s">
        <v>4638</v>
      </c>
      <c r="R232" s="95">
        <v>19663646</v>
      </c>
      <c r="T232" s="215" t="s">
        <v>4812</v>
      </c>
      <c r="U232" s="215">
        <v>2561</v>
      </c>
      <c r="V232" s="113">
        <v>254.536</v>
      </c>
      <c r="W232" s="113">
        <f t="shared" si="45"/>
        <v>651866.696</v>
      </c>
      <c r="X232" s="99" t="s">
        <v>4821</v>
      </c>
      <c r="AH232" s="99"/>
      <c r="AI232" s="99"/>
      <c r="AJ232" s="95">
        <f>SUM(AJ182:AJ231)</f>
        <v>306517098</v>
      </c>
      <c r="AK232" s="99"/>
      <c r="AL232" s="99"/>
      <c r="AM232" s="99">
        <f>SUM(AM182:AM231)</f>
        <v>14031075671</v>
      </c>
      <c r="AN232" s="95">
        <f>AM232*AN168/31</f>
        <v>7543739.9422115162</v>
      </c>
    </row>
    <row r="233" spans="17:40">
      <c r="Q233" s="99" t="s">
        <v>4665</v>
      </c>
      <c r="R233" s="95">
        <v>4374525</v>
      </c>
      <c r="S233" t="s">
        <v>25</v>
      </c>
      <c r="T233" s="215" t="s">
        <v>4872</v>
      </c>
      <c r="U233" s="215">
        <v>-11795</v>
      </c>
      <c r="V233" s="113">
        <v>254.334</v>
      </c>
      <c r="W233" s="113">
        <f t="shared" si="45"/>
        <v>-2999869.5300000003</v>
      </c>
      <c r="X233" s="99" t="s">
        <v>4873</v>
      </c>
      <c r="AJ233" t="s">
        <v>4059</v>
      </c>
      <c r="AM233" t="s">
        <v>284</v>
      </c>
      <c r="AN233" t="s">
        <v>943</v>
      </c>
    </row>
    <row r="234" spans="17:40">
      <c r="Q234" s="99" t="s">
        <v>4681</v>
      </c>
      <c r="R234" s="95">
        <v>6550580</v>
      </c>
      <c r="T234" s="215" t="s">
        <v>4872</v>
      </c>
      <c r="U234" s="215">
        <v>11795</v>
      </c>
      <c r="V234" s="113">
        <v>254.334</v>
      </c>
      <c r="W234" s="113">
        <f t="shared" si="45"/>
        <v>2999869.5300000003</v>
      </c>
      <c r="X234" s="99" t="s">
        <v>4874</v>
      </c>
    </row>
    <row r="235" spans="17:40">
      <c r="Q235" s="99" t="s">
        <v>4685</v>
      </c>
      <c r="R235" s="95">
        <v>6650895</v>
      </c>
      <c r="T235" s="215" t="s">
        <v>4890</v>
      </c>
      <c r="U235" s="215">
        <v>260</v>
      </c>
      <c r="V235" s="113">
        <v>263.19</v>
      </c>
      <c r="W235" s="113">
        <f t="shared" si="45"/>
        <v>68429.399999999994</v>
      </c>
      <c r="X235" s="99" t="s">
        <v>452</v>
      </c>
      <c r="AI235" t="s">
        <v>4061</v>
      </c>
      <c r="AJ235" s="114">
        <f>AJ232+AN232</f>
        <v>314060837.94221151</v>
      </c>
    </row>
    <row r="236" spans="17:40">
      <c r="Q236" s="99" t="s">
        <v>4722</v>
      </c>
      <c r="R236" s="95">
        <v>2145814</v>
      </c>
      <c r="T236" s="215" t="s">
        <v>4905</v>
      </c>
      <c r="U236" s="215">
        <v>15257</v>
      </c>
      <c r="V236" s="113">
        <v>262.19018</v>
      </c>
      <c r="W236" s="113">
        <f t="shared" si="45"/>
        <v>4000235.57626</v>
      </c>
      <c r="X236" s="99" t="s">
        <v>452</v>
      </c>
      <c r="AI236" t="s">
        <v>4064</v>
      </c>
      <c r="AJ236" s="114">
        <f>SUM(N20:N33)</f>
        <v>361230498.19999999</v>
      </c>
    </row>
    <row r="237" spans="17:40">
      <c r="Q237" s="99" t="s">
        <v>4737</v>
      </c>
      <c r="R237" s="95">
        <v>4369730</v>
      </c>
      <c r="T237" s="215" t="s">
        <v>4905</v>
      </c>
      <c r="U237" s="215">
        <v>8444</v>
      </c>
      <c r="V237" s="113">
        <v>266.43029999999999</v>
      </c>
      <c r="W237" s="113">
        <f t="shared" si="45"/>
        <v>2249737.4531999999</v>
      </c>
      <c r="X237" s="99" t="s">
        <v>452</v>
      </c>
      <c r="AI237" t="s">
        <v>4136</v>
      </c>
      <c r="AJ237" s="114">
        <f>AJ236-AJ232</f>
        <v>54713400.199999988</v>
      </c>
    </row>
    <row r="238" spans="17:40">
      <c r="Q238" s="99" t="s">
        <v>4741</v>
      </c>
      <c r="R238" s="95">
        <v>8739459</v>
      </c>
      <c r="T238" s="215" t="s">
        <v>4913</v>
      </c>
      <c r="U238" s="215">
        <v>-6209</v>
      </c>
      <c r="V238" s="113">
        <v>273.79649999999998</v>
      </c>
      <c r="W238" s="113">
        <f t="shared" si="45"/>
        <v>-1700002.4685</v>
      </c>
      <c r="X238" s="99" t="s">
        <v>4926</v>
      </c>
      <c r="AI238" t="s">
        <v>943</v>
      </c>
      <c r="AJ238" s="114">
        <f>AN232</f>
        <v>7543739.9422115162</v>
      </c>
    </row>
    <row r="239" spans="17:40">
      <c r="Q239" s="99" t="s">
        <v>4752</v>
      </c>
      <c r="R239" s="95">
        <v>6667654</v>
      </c>
      <c r="T239" s="215" t="s">
        <v>4913</v>
      </c>
      <c r="U239" s="215">
        <v>-8014</v>
      </c>
      <c r="V239" s="113">
        <v>273.79649999999998</v>
      </c>
      <c r="W239" s="113">
        <f t="shared" si="45"/>
        <v>-2194205.1510000001</v>
      </c>
      <c r="X239" s="99" t="s">
        <v>751</v>
      </c>
      <c r="AI239" t="s">
        <v>4065</v>
      </c>
      <c r="AJ239" s="114">
        <f>AJ237-AJ238</f>
        <v>47169660.257788472</v>
      </c>
      <c r="AN239" t="s">
        <v>25</v>
      </c>
    </row>
    <row r="240" spans="17:40">
      <c r="Q240" s="99" t="s">
        <v>4760</v>
      </c>
      <c r="R240" s="95">
        <v>8981245</v>
      </c>
      <c r="S240" t="s">
        <v>25</v>
      </c>
      <c r="T240" s="215" t="s">
        <v>4924</v>
      </c>
      <c r="U240" s="215">
        <v>-9176</v>
      </c>
      <c r="V240" s="113">
        <v>273.79649999999998</v>
      </c>
      <c r="W240" s="113">
        <f t="shared" si="45"/>
        <v>-2512356.6839999999</v>
      </c>
      <c r="X240" s="99" t="s">
        <v>452</v>
      </c>
      <c r="AN240" t="s">
        <v>25</v>
      </c>
    </row>
    <row r="241" spans="17:40">
      <c r="Q241" s="99" t="s">
        <v>4765</v>
      </c>
      <c r="R241" s="95">
        <v>9181756</v>
      </c>
      <c r="T241" s="215" t="s">
        <v>4924</v>
      </c>
      <c r="U241" s="215">
        <v>1087</v>
      </c>
      <c r="V241" s="113">
        <v>273.79649999999998</v>
      </c>
      <c r="W241" s="113">
        <f t="shared" si="45"/>
        <v>297616.79550000001</v>
      </c>
      <c r="X241" s="99" t="s">
        <v>452</v>
      </c>
    </row>
    <row r="242" spans="17:40">
      <c r="Q242" s="99" t="s">
        <v>4775</v>
      </c>
      <c r="R242" s="95">
        <v>11811208</v>
      </c>
      <c r="T242" s="215" t="s">
        <v>981</v>
      </c>
      <c r="U242" s="215">
        <v>-4017</v>
      </c>
      <c r="V242" s="113">
        <v>273.79649999999998</v>
      </c>
      <c r="W242" s="113">
        <f t="shared" si="45"/>
        <v>-1099840.5404999999</v>
      </c>
      <c r="X242" s="99" t="s">
        <v>4451</v>
      </c>
    </row>
    <row r="243" spans="17:40">
      <c r="Q243" s="99" t="s">
        <v>4793</v>
      </c>
      <c r="R243" s="95">
        <v>41248054</v>
      </c>
      <c r="T243" s="215" t="s">
        <v>981</v>
      </c>
      <c r="U243" s="215">
        <v>4017</v>
      </c>
      <c r="V243" s="113">
        <v>273.79649999999998</v>
      </c>
      <c r="W243" s="113">
        <f t="shared" si="45"/>
        <v>1099840.5404999999</v>
      </c>
      <c r="X243" s="99" t="s">
        <v>452</v>
      </c>
      <c r="AN243" t="s">
        <v>25</v>
      </c>
    </row>
    <row r="244" spans="17:40">
      <c r="Q244" s="99" t="s">
        <v>4803</v>
      </c>
      <c r="R244" s="95">
        <v>37328780</v>
      </c>
      <c r="S244" t="s">
        <v>25</v>
      </c>
      <c r="T244" s="215" t="s">
        <v>4938</v>
      </c>
      <c r="U244" s="215">
        <v>3137</v>
      </c>
      <c r="V244" s="113">
        <v>283.69110000000001</v>
      </c>
      <c r="W244" s="113">
        <f t="shared" si="45"/>
        <v>889938.98070000007</v>
      </c>
      <c r="X244" s="99" t="s">
        <v>452</v>
      </c>
      <c r="Y244" t="s">
        <v>25</v>
      </c>
    </row>
    <row r="245" spans="17:40">
      <c r="Q245" s="99" t="s">
        <v>4913</v>
      </c>
      <c r="R245" s="95">
        <v>-2194100</v>
      </c>
      <c r="S245" t="s">
        <v>25</v>
      </c>
      <c r="T245" s="215" t="s">
        <v>4954</v>
      </c>
      <c r="U245" s="215">
        <v>101933</v>
      </c>
      <c r="V245" s="113">
        <v>294.30973999999998</v>
      </c>
      <c r="W245" s="113">
        <f t="shared" si="45"/>
        <v>29999874.727419998</v>
      </c>
      <c r="X245" s="99" t="s">
        <v>1087</v>
      </c>
      <c r="Y245" t="s">
        <v>25</v>
      </c>
    </row>
    <row r="246" spans="17:40">
      <c r="Q246" s="99" t="s">
        <v>4969</v>
      </c>
      <c r="R246" s="95">
        <v>20193916</v>
      </c>
      <c r="T246" s="215" t="s">
        <v>4967</v>
      </c>
      <c r="U246" s="215">
        <v>3407</v>
      </c>
      <c r="V246" s="113">
        <v>293.43799999999999</v>
      </c>
      <c r="W246" s="113">
        <f t="shared" si="45"/>
        <v>999743.26599999995</v>
      </c>
      <c r="X246" s="99" t="s">
        <v>452</v>
      </c>
    </row>
    <row r="247" spans="17:40">
      <c r="Q247" s="99"/>
      <c r="R247" s="95"/>
      <c r="T247" s="215" t="s">
        <v>4969</v>
      </c>
      <c r="U247" s="215">
        <v>68796</v>
      </c>
      <c r="V247" s="113">
        <v>293.53250000000003</v>
      </c>
      <c r="W247" s="113">
        <f t="shared" si="45"/>
        <v>20193861.870000001</v>
      </c>
      <c r="X247" s="99" t="s">
        <v>751</v>
      </c>
    </row>
    <row r="248" spans="17:40">
      <c r="Q248" s="99"/>
      <c r="R248" s="95">
        <f>SUM(R225:R247)</f>
        <v>426236275</v>
      </c>
      <c r="T248" s="215" t="s">
        <v>4969</v>
      </c>
      <c r="U248" s="215">
        <v>154791</v>
      </c>
      <c r="V248" s="113">
        <v>293.53250000000003</v>
      </c>
      <c r="W248" s="113">
        <f t="shared" si="45"/>
        <v>45436189.207500003</v>
      </c>
      <c r="X248" s="99" t="s">
        <v>452</v>
      </c>
    </row>
    <row r="249" spans="17:40">
      <c r="Q249" s="99"/>
      <c r="R249" s="99" t="s">
        <v>6</v>
      </c>
      <c r="T249" s="215" t="s">
        <v>4969</v>
      </c>
      <c r="U249" s="215">
        <v>-11923</v>
      </c>
      <c r="V249" s="113">
        <v>293.53250000000003</v>
      </c>
      <c r="W249" s="113">
        <f t="shared" si="45"/>
        <v>-3499787.9975000005</v>
      </c>
      <c r="X249" s="99" t="s">
        <v>452</v>
      </c>
    </row>
    <row r="250" spans="17:40">
      <c r="T250" s="215" t="s">
        <v>4992</v>
      </c>
      <c r="U250" s="215">
        <v>8424</v>
      </c>
      <c r="V250" s="113">
        <v>299.15170000000001</v>
      </c>
      <c r="W250" s="113">
        <f t="shared" si="45"/>
        <v>2520053.9208</v>
      </c>
      <c r="X250" s="99" t="s">
        <v>452</v>
      </c>
    </row>
    <row r="251" spans="17:40">
      <c r="T251" s="215" t="s">
        <v>5034</v>
      </c>
      <c r="U251" s="215">
        <v>15943</v>
      </c>
      <c r="V251" s="113">
        <v>307.34415000000001</v>
      </c>
      <c r="W251" s="113">
        <f t="shared" si="45"/>
        <v>4899987.78345</v>
      </c>
      <c r="X251" s="99" t="s">
        <v>452</v>
      </c>
    </row>
    <row r="252" spans="17:40">
      <c r="Q252" s="99" t="s">
        <v>452</v>
      </c>
      <c r="R252" s="99"/>
      <c r="T252" s="215"/>
      <c r="U252" s="215"/>
      <c r="V252" s="113"/>
      <c r="W252" s="113"/>
      <c r="X252" s="99"/>
    </row>
    <row r="253" spans="17:40">
      <c r="Q253" s="99" t="s">
        <v>4444</v>
      </c>
      <c r="R253" s="95">
        <v>63115000</v>
      </c>
      <c r="T253" s="168"/>
      <c r="U253" s="168"/>
      <c r="V253" s="113"/>
      <c r="W253" s="113"/>
      <c r="X253" s="99"/>
    </row>
    <row r="254" spans="17:40">
      <c r="Q254" s="99" t="s">
        <v>4498</v>
      </c>
      <c r="R254" s="95">
        <v>13300000</v>
      </c>
      <c r="T254" s="168"/>
      <c r="U254" s="168">
        <f>SUM(U189:U253)</f>
        <v>3553153</v>
      </c>
      <c r="V254" s="99"/>
      <c r="W254" s="99"/>
      <c r="X254" s="99"/>
    </row>
    <row r="255" spans="17:40">
      <c r="Q255" s="99" t="s">
        <v>4506</v>
      </c>
      <c r="R255" s="95">
        <v>2269000</v>
      </c>
      <c r="T255" s="99"/>
      <c r="U255" s="99" t="s">
        <v>6</v>
      </c>
      <c r="V255" s="99"/>
      <c r="W255" s="99"/>
      <c r="X255" s="99"/>
    </row>
    <row r="256" spans="17:40">
      <c r="Q256" s="99" t="s">
        <v>4624</v>
      </c>
      <c r="R256" s="95">
        <v>25071612</v>
      </c>
      <c r="T256" s="201" t="s">
        <v>4488</v>
      </c>
    </row>
    <row r="257" spans="17:24">
      <c r="Q257" s="99" t="s">
        <v>4635</v>
      </c>
      <c r="R257" s="95">
        <v>42236984</v>
      </c>
      <c r="T257" s="200">
        <f>R199/U254</f>
        <v>307.34415250342443</v>
      </c>
    </row>
    <row r="258" spans="17:24">
      <c r="Q258" s="99" t="s">
        <v>4638</v>
      </c>
      <c r="R258" s="95">
        <v>19663646</v>
      </c>
      <c r="W258" s="114"/>
    </row>
    <row r="259" spans="17:24">
      <c r="Q259" s="99" t="s">
        <v>4665</v>
      </c>
      <c r="R259" s="95">
        <v>4374525</v>
      </c>
      <c r="U259" s="96" t="s">
        <v>267</v>
      </c>
      <c r="V259" t="s">
        <v>4489</v>
      </c>
      <c r="X259" t="s">
        <v>25</v>
      </c>
    </row>
    <row r="260" spans="17:24">
      <c r="Q260" s="99" t="s">
        <v>4681</v>
      </c>
      <c r="R260" s="95">
        <v>6550580</v>
      </c>
      <c r="T260" s="114"/>
      <c r="U260" s="113">
        <v>4900000</v>
      </c>
      <c r="V260">
        <f>U260/T257</f>
        <v>15943.03961890215</v>
      </c>
      <c r="X260" t="s">
        <v>25</v>
      </c>
    </row>
    <row r="261" spans="17:24">
      <c r="Q261" s="99" t="s">
        <v>4685</v>
      </c>
      <c r="R261" s="95">
        <v>7054895</v>
      </c>
      <c r="X261" t="s">
        <v>25</v>
      </c>
    </row>
    <row r="262" spans="17:24">
      <c r="Q262" s="99" t="s">
        <v>4722</v>
      </c>
      <c r="R262" s="95">
        <v>2145814</v>
      </c>
      <c r="W262" s="225"/>
      <c r="X262" s="96" t="s">
        <v>25</v>
      </c>
    </row>
    <row r="263" spans="17:24">
      <c r="Q263" s="99" t="s">
        <v>4737</v>
      </c>
      <c r="R263" s="95">
        <v>4369730</v>
      </c>
    </row>
    <row r="264" spans="17:24">
      <c r="Q264" s="99" t="s">
        <v>4741</v>
      </c>
      <c r="R264" s="95">
        <v>8739459</v>
      </c>
    </row>
    <row r="265" spans="17:24" ht="60">
      <c r="Q265" s="99" t="s">
        <v>4752</v>
      </c>
      <c r="R265" s="95">
        <v>6667654</v>
      </c>
      <c r="T265" s="22" t="s">
        <v>4472</v>
      </c>
      <c r="V265" s="225"/>
    </row>
    <row r="266" spans="17:24" ht="45">
      <c r="Q266" s="99" t="s">
        <v>3684</v>
      </c>
      <c r="R266" s="95">
        <v>8981245</v>
      </c>
      <c r="T266" s="22" t="s">
        <v>4473</v>
      </c>
    </row>
    <row r="267" spans="17:24">
      <c r="Q267" s="99" t="s">
        <v>4765</v>
      </c>
      <c r="R267" s="95">
        <v>9181756</v>
      </c>
    </row>
    <row r="268" spans="17:24">
      <c r="Q268" s="99" t="s">
        <v>4775</v>
      </c>
      <c r="R268" s="95">
        <v>11811208</v>
      </c>
    </row>
    <row r="269" spans="17:24">
      <c r="Q269" s="99" t="s">
        <v>4793</v>
      </c>
      <c r="R269" s="95">
        <v>41248054</v>
      </c>
      <c r="T269" s="99" t="s">
        <v>4490</v>
      </c>
      <c r="U269" s="99" t="s">
        <v>4461</v>
      </c>
      <c r="V269" s="99" t="s">
        <v>953</v>
      </c>
    </row>
    <row r="270" spans="17:24">
      <c r="Q270" s="99" t="s">
        <v>4803</v>
      </c>
      <c r="R270" s="95">
        <v>37328780</v>
      </c>
      <c r="T270" s="95">
        <f>R218+R248+R285</f>
        <v>887999220</v>
      </c>
      <c r="U270" s="95">
        <f>R199</f>
        <v>1092040797.5</v>
      </c>
      <c r="V270" s="95">
        <f>U270-T270</f>
        <v>204041577.5</v>
      </c>
    </row>
    <row r="271" spans="17:24">
      <c r="Q271" s="99" t="s">
        <v>4812</v>
      </c>
      <c r="R271" s="95">
        <v>50000000</v>
      </c>
    </row>
    <row r="272" spans="17:24">
      <c r="Q272" s="99" t="s">
        <v>4890</v>
      </c>
      <c r="R272" s="95">
        <v>68656</v>
      </c>
    </row>
    <row r="273" spans="17:20">
      <c r="Q273" s="99" t="s">
        <v>4905</v>
      </c>
      <c r="R273" s="95">
        <v>4000236</v>
      </c>
    </row>
    <row r="274" spans="17:20">
      <c r="Q274" s="99" t="s">
        <v>4905</v>
      </c>
      <c r="R274" s="95">
        <v>2250000</v>
      </c>
    </row>
    <row r="275" spans="17:20">
      <c r="Q275" s="99" t="s">
        <v>4913</v>
      </c>
      <c r="R275" s="95">
        <v>-2512200</v>
      </c>
      <c r="T275" t="s">
        <v>25</v>
      </c>
    </row>
    <row r="276" spans="17:20">
      <c r="Q276" s="99" t="s">
        <v>4924</v>
      </c>
      <c r="R276" s="95">
        <v>300000</v>
      </c>
      <c r="T276" t="s">
        <v>25</v>
      </c>
    </row>
    <row r="277" spans="17:20">
      <c r="Q277" s="99" t="s">
        <v>981</v>
      </c>
      <c r="R277" s="95">
        <v>1100000</v>
      </c>
    </row>
    <row r="278" spans="17:20">
      <c r="Q278" s="99" t="s">
        <v>4938</v>
      </c>
      <c r="R278" s="95">
        <v>890000</v>
      </c>
      <c r="T278" t="s">
        <v>25</v>
      </c>
    </row>
    <row r="279" spans="17:20">
      <c r="Q279" s="99" t="s">
        <v>4967</v>
      </c>
      <c r="R279" s="95">
        <v>1000000</v>
      </c>
      <c r="T279" t="s">
        <v>25</v>
      </c>
    </row>
    <row r="280" spans="17:20">
      <c r="Q280" s="99" t="s">
        <v>4969</v>
      </c>
      <c r="R280" s="95">
        <v>45436311</v>
      </c>
    </row>
    <row r="281" spans="17:20">
      <c r="Q281" s="99" t="s">
        <v>4969</v>
      </c>
      <c r="R281" s="95">
        <v>-3500000</v>
      </c>
    </row>
    <row r="282" spans="17:20">
      <c r="Q282" s="99" t="s">
        <v>4992</v>
      </c>
      <c r="R282" s="95">
        <v>2520000</v>
      </c>
      <c r="T282" t="s">
        <v>25</v>
      </c>
    </row>
    <row r="283" spans="17:20">
      <c r="Q283" s="99" t="s">
        <v>5034</v>
      </c>
      <c r="R283" s="95">
        <v>4900000</v>
      </c>
      <c r="T283" t="s">
        <v>25</v>
      </c>
    </row>
    <row r="284" spans="17:20">
      <c r="Q284" s="99"/>
      <c r="R284" s="95"/>
    </row>
    <row r="285" spans="17:20">
      <c r="Q285" s="99"/>
      <c r="R285" s="95">
        <f>SUM(R253:R284)</f>
        <v>420562945</v>
      </c>
      <c r="T285" t="s">
        <v>25</v>
      </c>
    </row>
    <row r="286" spans="17:20">
      <c r="Q286" s="99"/>
      <c r="R286" s="99" t="s">
        <v>6</v>
      </c>
      <c r="T286" t="s">
        <v>25</v>
      </c>
    </row>
    <row r="290" spans="20:20">
      <c r="T290" t="s">
        <v>25</v>
      </c>
    </row>
    <row r="291" spans="20:20">
      <c r="T29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2" zoomScale="90" zoomScaleNormal="90" workbookViewId="0">
      <selection activeCell="M104" sqref="M104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4967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4967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4967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4898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4913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4969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4983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5010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4912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4898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4911</v>
      </c>
      <c r="J82" s="86">
        <f t="shared" si="12"/>
        <v>8860702</v>
      </c>
      <c r="K82" s="192" t="s">
        <v>4905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4922</v>
      </c>
      <c r="J83" s="86">
        <f>L83-L82+31412200</f>
        <v>20439704</v>
      </c>
      <c r="K83" s="192" t="s">
        <v>4913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4923</v>
      </c>
      <c r="J84" s="189">
        <f t="shared" si="12"/>
        <v>21224293</v>
      </c>
      <c r="K84" s="190" t="s">
        <v>4924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4937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4951</v>
      </c>
      <c r="J87" s="197">
        <f>L87-L86-20000</f>
        <v>7878257</v>
      </c>
      <c r="K87" s="191" t="s">
        <v>4938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4953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4954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4998</v>
      </c>
      <c r="J90" s="197">
        <f>L90-L89-1000000</f>
        <v>3840350</v>
      </c>
      <c r="K90" s="191" t="s">
        <v>4967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4969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4983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4988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4989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4997</v>
      </c>
      <c r="J95" s="197">
        <f>L95-L94-2520000</f>
        <v>-274657</v>
      </c>
      <c r="K95" s="191" t="s">
        <v>4992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4999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5003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5006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5008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5010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5011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5014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5013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215"/>
      <c r="J104" s="113">
        <f t="shared" si="17"/>
        <v>-716288384</v>
      </c>
      <c r="K104" s="215"/>
      <c r="L104" s="84"/>
      <c r="M104" s="84"/>
      <c r="N104" s="113">
        <f t="shared" si="22"/>
        <v>0</v>
      </c>
      <c r="O104" s="113">
        <f t="shared" si="23"/>
        <v>-320388494</v>
      </c>
      <c r="P104" s="113">
        <f t="shared" si="24"/>
        <v>-1036676878</v>
      </c>
    </row>
    <row r="105" spans="9:17">
      <c r="I105" s="215"/>
      <c r="J105" s="113">
        <f t="shared" si="17"/>
        <v>0</v>
      </c>
      <c r="K105" s="215"/>
      <c r="L105" s="84"/>
      <c r="M105" s="84"/>
      <c r="N105" s="113">
        <f t="shared" si="22"/>
        <v>0</v>
      </c>
      <c r="O105" s="113">
        <f t="shared" si="23"/>
        <v>0</v>
      </c>
      <c r="P105" s="113">
        <f t="shared" si="24"/>
        <v>0</v>
      </c>
    </row>
    <row r="106" spans="9:17">
      <c r="I106" s="215"/>
      <c r="J106" s="113">
        <f t="shared" si="17"/>
        <v>0</v>
      </c>
      <c r="K106" s="215"/>
      <c r="L106" s="84"/>
      <c r="M106" s="84"/>
      <c r="N106" s="113">
        <f t="shared" si="22"/>
        <v>0</v>
      </c>
      <c r="O106" s="113">
        <f t="shared" si="23"/>
        <v>0</v>
      </c>
      <c r="P106" s="113">
        <f t="shared" si="24"/>
        <v>0</v>
      </c>
    </row>
    <row r="107" spans="9:17">
      <c r="I107" s="215"/>
      <c r="J107" s="113">
        <f t="shared" si="17"/>
        <v>0</v>
      </c>
      <c r="K107" s="215" t="s">
        <v>25</v>
      </c>
      <c r="L107" s="84"/>
      <c r="M107" s="84"/>
      <c r="N107" s="113">
        <f t="shared" si="22"/>
        <v>0</v>
      </c>
      <c r="O107" s="113">
        <f t="shared" si="23"/>
        <v>0</v>
      </c>
      <c r="P107" s="113">
        <f t="shared" si="24"/>
        <v>0</v>
      </c>
    </row>
    <row r="108" spans="9:17">
      <c r="I108" s="215"/>
      <c r="J108" s="113">
        <f t="shared" si="17"/>
        <v>0</v>
      </c>
      <c r="K108" s="215"/>
      <c r="L108" s="84"/>
      <c r="M108" s="84"/>
      <c r="N108" s="113">
        <f t="shared" si="22"/>
        <v>0</v>
      </c>
      <c r="O108" s="113">
        <f t="shared" si="23"/>
        <v>0</v>
      </c>
      <c r="P108" s="113">
        <f t="shared" si="24"/>
        <v>0</v>
      </c>
    </row>
    <row r="109" spans="9:17">
      <c r="I109" s="215"/>
      <c r="J109" s="113">
        <f t="shared" si="17"/>
        <v>0</v>
      </c>
      <c r="K109" s="215"/>
      <c r="L109" s="84"/>
      <c r="M109" s="84"/>
      <c r="N109" s="113">
        <f t="shared" si="22"/>
        <v>0</v>
      </c>
      <c r="O109" s="113">
        <f t="shared" si="23"/>
        <v>0</v>
      </c>
      <c r="P109" s="113">
        <f t="shared" si="24"/>
        <v>0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4913</v>
      </c>
      <c r="B45" s="113">
        <v>2060725</v>
      </c>
      <c r="C45" s="99" t="s">
        <v>4918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4949</v>
      </c>
      <c r="B46" s="113">
        <v>-1073169</v>
      </c>
      <c r="C46" s="99" t="s">
        <v>4950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4938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4938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4954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4969</v>
      </c>
      <c r="B52" s="113">
        <v>-195330</v>
      </c>
      <c r="C52" s="99" t="s">
        <v>4976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4983</v>
      </c>
      <c r="B53" s="113">
        <v>-140730</v>
      </c>
      <c r="C53" s="99" t="s">
        <v>4990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4898</v>
      </c>
      <c r="B20" s="18">
        <v>400000</v>
      </c>
      <c r="C20" s="18">
        <v>0</v>
      </c>
      <c r="D20" s="113">
        <f t="shared" si="0"/>
        <v>400000</v>
      </c>
      <c r="E20" s="19" t="s">
        <v>4900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4913</v>
      </c>
      <c r="B28" s="18">
        <v>433375</v>
      </c>
      <c r="C28" s="18">
        <v>0</v>
      </c>
      <c r="D28" s="113">
        <f t="shared" si="0"/>
        <v>433375</v>
      </c>
      <c r="E28" s="19" t="s">
        <v>4918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4924</v>
      </c>
      <c r="B30" s="18">
        <v>-300000</v>
      </c>
      <c r="C30" s="18">
        <v>0</v>
      </c>
      <c r="D30" s="113">
        <f t="shared" si="0"/>
        <v>-300000</v>
      </c>
      <c r="E30" s="19" t="s">
        <v>4927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4935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4901</v>
      </c>
      <c r="G70" t="s">
        <v>25</v>
      </c>
    </row>
    <row r="71" spans="1:22">
      <c r="D71" s="18">
        <v>463200</v>
      </c>
      <c r="E71" s="122" t="s">
        <v>4903</v>
      </c>
    </row>
    <row r="72" spans="1:22">
      <c r="D72" s="18">
        <v>2000000</v>
      </c>
      <c r="E72" s="96" t="s">
        <v>4906</v>
      </c>
    </row>
    <row r="73" spans="1:22">
      <c r="D73" s="18">
        <v>-280000</v>
      </c>
      <c r="E73" t="s">
        <v>4910</v>
      </c>
    </row>
    <row r="74" spans="1:22">
      <c r="D74" s="18">
        <v>-200000</v>
      </c>
      <c r="E74" s="96" t="s">
        <v>4919</v>
      </c>
    </row>
    <row r="75" spans="1:22">
      <c r="D75" s="18">
        <v>-2000000</v>
      </c>
      <c r="E75" s="96" t="s">
        <v>4925</v>
      </c>
    </row>
    <row r="76" spans="1:22">
      <c r="D76" s="18">
        <v>92800</v>
      </c>
      <c r="E76" s="96" t="s">
        <v>4931</v>
      </c>
    </row>
    <row r="77" spans="1:22">
      <c r="D77" s="18">
        <v>1417727</v>
      </c>
      <c r="E77" s="96" t="s">
        <v>4935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0" t="s">
        <v>1089</v>
      </c>
      <c r="R21" s="250"/>
      <c r="S21" s="250"/>
      <c r="T21" s="250"/>
      <c r="U21" s="96"/>
      <c r="V21" s="96"/>
      <c r="W21" s="96"/>
      <c r="X21" s="96"/>
      <c r="Y21" s="96"/>
      <c r="Z21" s="96"/>
    </row>
    <row r="22" spans="5:35">
      <c r="O22" s="99"/>
      <c r="P22" s="99"/>
      <c r="Q22" s="250"/>
      <c r="R22" s="250"/>
      <c r="S22" s="250"/>
      <c r="T22" s="25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1" t="s">
        <v>1090</v>
      </c>
      <c r="R23" s="252" t="s">
        <v>1091</v>
      </c>
      <c r="S23" s="251" t="s">
        <v>1092</v>
      </c>
      <c r="T23" s="253" t="s">
        <v>1093</v>
      </c>
      <c r="AD23" t="s">
        <v>25</v>
      </c>
    </row>
    <row r="24" spans="5:35">
      <c r="O24" s="99"/>
      <c r="P24" s="99"/>
      <c r="Q24" s="251"/>
      <c r="R24" s="252"/>
      <c r="S24" s="251"/>
      <c r="T24" s="25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workbookViewId="0">
      <selection activeCell="H32" sqref="H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4898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4898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4913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4924</v>
      </c>
      <c r="B25" s="95">
        <v>0</v>
      </c>
      <c r="C25" s="95">
        <v>1000</v>
      </c>
      <c r="D25" s="99" t="s">
        <v>315</v>
      </c>
    </row>
    <row r="26" spans="1:9">
      <c r="A26" s="99" t="s">
        <v>4967</v>
      </c>
      <c r="B26" s="95">
        <v>0</v>
      </c>
      <c r="C26" s="95">
        <v>12000</v>
      </c>
      <c r="D26" s="99" t="s">
        <v>4982</v>
      </c>
    </row>
    <row r="27" spans="1:9">
      <c r="A27" s="99" t="s">
        <v>4969</v>
      </c>
      <c r="B27" s="95">
        <v>0</v>
      </c>
      <c r="C27" s="95">
        <v>1000</v>
      </c>
      <c r="D27" s="99" t="s">
        <v>315</v>
      </c>
    </row>
    <row r="28" spans="1:9">
      <c r="A28" s="99" t="s">
        <v>4983</v>
      </c>
      <c r="B28" s="95">
        <v>0</v>
      </c>
      <c r="C28" s="95">
        <v>1000</v>
      </c>
      <c r="D28" s="99" t="s">
        <v>315</v>
      </c>
    </row>
    <row r="29" spans="1:9">
      <c r="A29" s="99" t="s">
        <v>4988</v>
      </c>
      <c r="B29" s="95">
        <v>0</v>
      </c>
      <c r="C29" s="95">
        <v>1000</v>
      </c>
      <c r="D29" s="99" t="s">
        <v>315</v>
      </c>
    </row>
    <row r="30" spans="1:9">
      <c r="A30" s="99" t="s">
        <v>4989</v>
      </c>
      <c r="B30" s="95">
        <v>0</v>
      </c>
      <c r="C30" s="95">
        <v>5500</v>
      </c>
      <c r="D30" s="99" t="s">
        <v>4763</v>
      </c>
    </row>
    <row r="31" spans="1:9">
      <c r="A31" s="99" t="s">
        <v>4989</v>
      </c>
      <c r="B31" s="95">
        <v>11000</v>
      </c>
      <c r="C31" s="95">
        <v>0</v>
      </c>
      <c r="D31" s="99" t="s">
        <v>4762</v>
      </c>
    </row>
    <row r="32" spans="1:9">
      <c r="A32" s="99" t="s">
        <v>4999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5006</v>
      </c>
      <c r="B34" s="95">
        <v>0</v>
      </c>
      <c r="C34" s="95">
        <v>1000</v>
      </c>
      <c r="D34" s="99" t="s">
        <v>315</v>
      </c>
    </row>
    <row r="35" spans="1:10">
      <c r="A35" s="99" t="s">
        <v>5008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5013</v>
      </c>
      <c r="B36" s="95">
        <v>1000</v>
      </c>
      <c r="C36" s="95">
        <v>0</v>
      </c>
      <c r="D36" s="99" t="s">
        <v>315</v>
      </c>
    </row>
    <row r="37" spans="1:10">
      <c r="A37" s="99" t="s">
        <v>5013</v>
      </c>
      <c r="B37" s="95">
        <v>0</v>
      </c>
      <c r="C37" s="95">
        <v>11200</v>
      </c>
      <c r="D37" s="99" t="s">
        <v>4762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4793</v>
      </c>
      <c r="B48" s="226">
        <v>6700</v>
      </c>
      <c r="C48" s="226">
        <v>0</v>
      </c>
      <c r="D48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AgentBased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2019-04-25T10:39:17Z</dcterms:modified>
</cp:coreProperties>
</file>