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مهر97" sheetId="4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لیست خرید و فروش" sheetId="32" r:id="rId40"/>
    <sheet name="اوراق بدون ریسک" sheetId="33" r:id="rId41"/>
    <sheet name="نکات" sheetId="35" r:id="rId42"/>
    <sheet name="سکه" sheetId="36" r:id="rId43"/>
    <sheet name="apply" sheetId="37" r:id="rId44"/>
    <sheet name="بیمه" sheetId="39" r:id="rId45"/>
    <sheet name="آرشیو قیمت ارجینال" sheetId="40" r:id="rId46"/>
    <sheet name="تحلیل1" sheetId="41" r:id="rId47"/>
  </sheets>
  <calcPr calcId="145621"/>
</workbook>
</file>

<file path=xl/calcChain.xml><?xml version="1.0" encoding="utf-8"?>
<calcChain xmlns="http://schemas.openxmlformats.org/spreadsheetml/2006/main"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Q42" i="18"/>
  <c r="D71" i="48"/>
  <c r="N37" i="18"/>
  <c r="AH83" i="18"/>
  <c r="C22" i="33"/>
  <c r="D22" i="33"/>
  <c r="E22" i="33"/>
  <c r="F22" i="33"/>
  <c r="G22" i="33"/>
  <c r="H22" i="33"/>
  <c r="I22" i="33"/>
  <c r="J22" i="33"/>
  <c r="K22" i="33"/>
  <c r="L22" i="33"/>
  <c r="B22" i="33"/>
  <c r="R22" i="33"/>
  <c r="N22" i="33"/>
  <c r="Q18" i="49" l="1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T16" i="49" s="1"/>
  <c r="U17" i="49" s="1"/>
  <c r="T17" i="49" s="1"/>
  <c r="U18" i="49" s="1"/>
  <c r="T18" i="49" s="1"/>
  <c r="P21" i="18"/>
  <c r="N21" i="18" s="1"/>
  <c r="P20" i="18"/>
  <c r="N20" i="18" s="1"/>
  <c r="N36" i="18"/>
  <c r="P19" i="18"/>
  <c r="N19" i="18" s="1"/>
  <c r="R42" i="18" s="1"/>
  <c r="B263" i="15"/>
  <c r="Q20" i="49" l="1"/>
  <c r="P20" i="49" s="1"/>
  <c r="S18" i="49"/>
  <c r="R18" i="49" s="1"/>
  <c r="U19" i="49"/>
  <c r="T19" i="49" s="1"/>
  <c r="S33" i="18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N35" i="18"/>
  <c r="Q22" i="49" l="1"/>
  <c r="P22" i="49"/>
  <c r="U21" i="49"/>
  <c r="T21" i="49" s="1"/>
  <c r="S22" i="49"/>
  <c r="R22" i="49" s="1"/>
  <c r="S34" i="18"/>
  <c r="S35" i="18" s="1"/>
  <c r="S36" i="18" s="1"/>
  <c r="P34" i="18"/>
  <c r="Q23" i="49" l="1"/>
  <c r="P23" i="49"/>
  <c r="U22" i="49"/>
  <c r="T22" i="49" s="1"/>
  <c r="S23" i="49"/>
  <c r="R23" i="49" s="1"/>
  <c r="C8" i="36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AP24" i="18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N27" i="18"/>
  <c r="L25" i="18"/>
  <c r="K224" i="20" l="1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K223" i="20" s="1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23" i="20" l="1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4" i="18" l="1"/>
  <c r="AJ82" i="18" l="1"/>
  <c r="AP55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P43" i="18"/>
  <c r="P44" i="18" s="1"/>
  <c r="N44" i="18" s="1"/>
  <c r="AJ76" i="18" l="1"/>
  <c r="AK77" i="18"/>
  <c r="N43" i="18"/>
  <c r="AJ75" i="18" l="1"/>
  <c r="AK76" i="18"/>
  <c r="N33" i="18"/>
  <c r="Q38" i="18" s="1"/>
  <c r="AJ74" i="18" l="1"/>
  <c r="AK75" i="18"/>
  <c r="AH89" i="18"/>
  <c r="AH90" i="18" s="1"/>
  <c r="AJ73" i="18" l="1"/>
  <c r="AK74" i="18"/>
  <c r="U43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AK53" i="18" l="1"/>
  <c r="AJ52" i="18"/>
  <c r="B27" i="48"/>
  <c r="D2" i="48"/>
  <c r="I2" i="48" s="1"/>
  <c r="I28" i="48" s="1"/>
  <c r="G2" i="48"/>
  <c r="G28" i="48" s="1"/>
  <c r="H33" i="48" s="1"/>
  <c r="I2" i="46"/>
  <c r="I30" i="46" s="1"/>
  <c r="I35" i="46" s="1"/>
  <c r="H35" i="46"/>
  <c r="E32" i="14"/>
  <c r="G32" i="14" s="1"/>
  <c r="G33" i="14"/>
  <c r="D64" i="43"/>
  <c r="AJ51" i="18" l="1"/>
  <c r="AK52" i="18"/>
  <c r="I33" i="48"/>
  <c r="D27" i="48"/>
  <c r="E253" i="15"/>
  <c r="E252" i="15"/>
  <c r="AJ50" i="18" l="1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U14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AK83" i="18" s="1"/>
  <c r="AL83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H88" i="18" l="1"/>
  <c r="AH92" i="18" s="1"/>
  <c r="AH91" i="18"/>
  <c r="E173" i="13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9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7" i="18" l="1"/>
  <c r="L46" i="18"/>
  <c r="E33" i="13"/>
  <c r="G34" i="13"/>
  <c r="I97" i="20"/>
  <c r="K97" i="20"/>
  <c r="J97" i="20"/>
  <c r="F108" i="15"/>
  <c r="C20" i="18"/>
  <c r="G20" i="14"/>
  <c r="G21" i="14"/>
  <c r="L48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<sst xmlns="http://schemas.openxmlformats.org/spreadsheetml/2006/main" count="9102" uniqueCount="4343">
  <si>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</si>
  <si>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</si>
  <si>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</si>
  <si>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</si>
  <si>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</si>
  <si>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</si>
  <si>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</si>
  <si>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</si>
  <si>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</si>
  <si>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</si>
  <si>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</si>
  <si>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</si>
  <si>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</si>
  <si>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</si>
  <si>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</si>
  <si>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</si>
  <si>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</si>
  <si>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</si>
  <si>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</si>
  <si>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</si>
  <si>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</si>
  <si>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</si>
  <si>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</si>
  <si>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</si>
  <si>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</si>
  <si>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</si>
  <si>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</si>
  <si>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</si>
  <si>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</si>
  <si>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</si>
  <si>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</si>
  <si>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</si>
  <si>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</si>
  <si>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</si>
  <si>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</si>
  <si>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</si>
  <si>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</si>
  <si>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</si>
  <si>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</si>
  <si>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</si>
  <si>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</si>
  <si>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</si>
  <si>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</si>
  <si>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</si>
  <si>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</si>
  <si>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</si>
  <si>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</si>
  <si>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</si>
  <si>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</si>
  <si>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</si>
  <si>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</si>
  <si>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</si>
  <si>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</si>
  <si>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</si>
  <si>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</si>
  <si>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</si>
  <si>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</si>
  <si>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</si>
  <si>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</si>
  <si>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</si>
  <si>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</si>
  <si>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</si>
  <si>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</si>
  <si>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</si>
  <si>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</si>
  <si>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</si>
  <si>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</si>
  <si>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</si>
  <si>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</si>
  <si>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</si>
  <si>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</si>
  <si>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</si>
  <si>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</si>
  <si>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</si>
  <si>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</si>
  <si>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</si>
  <si>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</si>
  <si>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</si>
  <si>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</si>
  <si>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</si>
  <si>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</si>
  <si>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</si>
  <si>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</si>
  <si>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</si>
  <si>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</si>
  <si>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</si>
  <si>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</si>
  <si>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</si>
  <si>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</si>
  <si>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</si>
  <si>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</si>
  <si>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</si>
  <si>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</si>
  <si>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</si>
  <si>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</si>
  <si>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</si>
  <si>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</si>
  <si>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</si>
  <si>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</si>
  <si>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</si>
  <si>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</si>
  <si>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</si>
  <si>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</si>
  <si>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</si>
  <si>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</si>
  <si>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</si>
  <si>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</si>
  <si>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</si>
  <si>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</si>
  <si>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</si>
  <si>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</si>
  <si>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</si>
  <si>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</si>
  <si>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</si>
  <si>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</si>
  <si>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</si>
  <si>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</si>
  <si>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</si>
  <si>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</si>
  <si>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</si>
  <si>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</si>
  <si>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</si>
  <si>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</si>
  <si>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</si>
  <si>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</si>
  <si>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</si>
  <si>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</si>
  <si>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</si>
  <si>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</si>
  <si>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</si>
  <si>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</si>
  <si>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</si>
  <si>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</si>
  <si>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</si>
  <si>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</si>
  <si>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</si>
  <si>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</si>
  <si>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</si>
  <si>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</si>
  <si>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</si>
  <si>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</si>
  <si>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</si>
  <si>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</si>
  <si>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</si>
  <si>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</si>
  <si>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</si>
  <si>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</si>
  <si>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</si>
  <si>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</si>
  <si>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</si>
  <si>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</si>
  <si>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</si>
  <si>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</si>
  <si>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</si>
  <si>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</si>
  <si>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</si>
  <si>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</si>
  <si>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</si>
  <si>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</si>
  <si>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</si>
  <si>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</si>
  <si>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</si>
  <si>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</si>
  <si>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</si>
  <si>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</si>
  <si>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</si>
  <si>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</si>
  <si>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</si>
  <si>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</si>
  <si>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</si>
  <si>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</si>
  <si>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</si>
  <si>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</si>
  <si>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</si>
  <si>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</si>
  <si>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</si>
  <si>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</si>
  <si>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</si>
  <si>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</si>
  <si>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</si>
  <si>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</si>
  <si>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</si>
  <si>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</si>
  <si>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</si>
  <si>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</si>
  <si>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</si>
  <si>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</si>
  <si>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</si>
  <si>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</si>
  <si>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</si>
  <si>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</si>
  <si>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</si>
  <si>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</si>
  <si>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</si>
  <si>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</si>
  <si>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</si>
  <si>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</si>
  <si>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</si>
  <si>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</si>
  <si>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</si>
  <si>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</si>
  <si>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</si>
  <si>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</si>
  <si>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</si>
  <si>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</si>
  <si>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</si>
  <si>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</si>
  <si>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</si>
  <si>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</si>
  <si>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</si>
  <si>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</si>
  <si>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</si>
  <si>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</si>
  <si>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</si>
  <si>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</si>
  <si>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</si>
  <si>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</si>
  <si>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</si>
  <si>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</si>
  <si>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</si>
  <si>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</si>
  <si>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</si>
  <si>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</si>
  <si>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</si>
  <si>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</si>
  <si>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</si>
  <si>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</si>
  <si>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</si>
  <si>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</si>
  <si>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</si>
  <si>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</si>
  <si>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</si>
  <si>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</si>
  <si>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</si>
  <si>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</si>
  <si>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</si>
  <si>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</si>
  <si>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</si>
  <si>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</si>
  <si>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</si>
  <si>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</si>
  <si>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</si>
  <si>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</si>
  <si>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</si>
  <si>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</si>
  <si>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</si>
  <si>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</si>
  <si>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</si>
  <si>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</si>
  <si>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</si>
  <si>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</si>
  <si>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</si>
  <si>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</si>
  <si>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</si>
  <si>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</si>
  <si>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</si>
  <si>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</si>
  <si>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</si>
  <si>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</si>
  <si>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</si>
  <si>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</si>
  <si>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</si>
  <si>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</si>
  <si>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</si>
  <si>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</si>
  <si>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</si>
  <si>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</si>
  <si>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</si>
  <si>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</si>
  <si>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</si>
  <si>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</si>
  <si>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</si>
  <si>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</si>
  <si>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</si>
  <si>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</si>
  <si>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</si>
  <si>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</si>
  <si>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</si>
  <si>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</si>
  <si>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</si>
  <si>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</si>
  <si>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</si>
  <si>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</si>
  <si>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</si>
  <si>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</si>
  <si>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</si>
  <si>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</si>
  <si>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</si>
  <si>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</si>
  <si>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</si>
  <si>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</si>
  <si>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</si>
  <si>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</si>
  <si>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</si>
  <si>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</si>
  <si>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</si>
  <si>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</si>
  <si>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</si>
  <si>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</si>
  <si>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</si>
  <si>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</si>
  <si>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</si>
  <si>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</si>
  <si>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</si>
  <si>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</si>
  <si>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</si>
  <si>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</si>
  <si>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</si>
  <si>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</si>
  <si>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</si>
  <si>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</si>
  <si>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</si>
  <si>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</si>
  <si>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</si>
  <si>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</si>
  <si>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</si>
  <si>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</si>
  <si>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</si>
  <si>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</si>
  <si>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</si>
  <si>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</si>
  <si>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</si>
  <si>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</si>
  <si>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</si>
  <si>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</si>
  <si>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</si>
  <si>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</si>
  <si>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</si>
  <si>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</si>
  <si>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</si>
  <si>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</si>
  <si>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</si>
  <si>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</si>
  <si>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</si>
  <si>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</si>
  <si>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</si>
  <si>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</si>
  <si>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</si>
  <si>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</si>
  <si>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</si>
  <si>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</si>
  <si>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</si>
  <si>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</si>
  <si>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</si>
  <si>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</si>
  <si>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</si>
  <si>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</si>
  <si>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</si>
  <si>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</si>
  <si>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</si>
  <si>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</si>
  <si>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</si>
  <si>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</si>
  <si>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</si>
  <si>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</si>
  <si>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</si>
  <si>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</si>
  <si>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</si>
  <si>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</si>
  <si>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</si>
  <si>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</si>
  <si>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</si>
  <si>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</si>
  <si>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</si>
  <si>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</si>
  <si>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</si>
  <si>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</si>
  <si>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</si>
  <si>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</si>
  <si>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</si>
  <si>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</si>
  <si>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</si>
  <si>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</si>
  <si>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</si>
  <si>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</si>
  <si>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</si>
  <si>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</si>
  <si>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</si>
  <si>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</si>
  <si>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</si>
  <si>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</si>
  <si>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</si>
  <si>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</si>
  <si>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</si>
  <si>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</si>
  <si>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</si>
  <si>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</si>
  <si>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</si>
  <si>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</si>
  <si>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</si>
  <si>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</si>
  <si>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</si>
  <si>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</si>
  <si>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</si>
  <si>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</si>
  <si>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</si>
  <si>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</si>
  <si>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</si>
  <si>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</si>
  <si>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</si>
  <si>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</si>
  <si>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</si>
  <si>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</si>
  <si>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</si>
  <si>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</si>
  <si>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</si>
  <si>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</si>
  <si>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</si>
  <si>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</si>
  <si>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</si>
  <si>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</si>
  <si>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</si>
  <si>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</si>
  <si>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</si>
  <si>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</si>
  <si>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</si>
  <si>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</si>
  <si>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</si>
  <si>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</si>
  <si>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</si>
  <si>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</si>
  <si>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</si>
  <si>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</si>
  <si>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</si>
  <si>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</si>
  <si>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</si>
  <si>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</si>
  <si>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</si>
  <si>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</si>
  <si>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</si>
  <si>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</si>
  <si>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</si>
  <si>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</si>
  <si>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</si>
  <si>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</si>
  <si>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</si>
  <si>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</si>
  <si>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</si>
  <si>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</si>
  <si>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</si>
  <si>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</si>
  <si>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</si>
  <si>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</si>
  <si>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</si>
  <si>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</si>
  <si>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</si>
  <si>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</si>
  <si>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</si>
  <si>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</si>
  <si>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</si>
  <si>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</si>
  <si>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</si>
  <si>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</si>
  <si>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</si>
  <si>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</si>
  <si>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</si>
  <si>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</si>
  <si>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</si>
  <si>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</si>
  <si>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</si>
  <si>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</si>
  <si>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</si>
  <si>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</si>
  <si>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</si>
  <si>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</si>
  <si>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</si>
  <si>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</si>
  <si>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</si>
  <si>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</si>
  <si>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</si>
  <si>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</si>
  <si>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</si>
  <si>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</si>
  <si>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</si>
  <si>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</si>
  <si>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</si>
  <si>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</si>
  <si>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</si>
  <si>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</si>
  <si>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</si>
  <si>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</si>
  <si>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</si>
  <si>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</si>
  <si>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</si>
  <si>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</si>
  <si>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</si>
  <si>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</si>
  <si>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</si>
  <si>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</si>
  <si>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</si>
  <si>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</si>
  <si>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</si>
  <si>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</si>
  <si>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</si>
  <si>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</si>
  <si>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</si>
  <si>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</si>
  <si>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</si>
  <si>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</si>
  <si>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</si>
  <si>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</si>
  <si>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</si>
  <si>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</si>
  <si>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</si>
  <si>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</si>
  <si>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</si>
  <si>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</si>
  <si>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</si>
  <si>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</si>
  <si>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</si>
  <si>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</si>
  <si>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</si>
  <si>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</si>
  <si>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</si>
  <si>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</si>
  <si>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</si>
  <si>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</si>
  <si>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</si>
  <si>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</si>
  <si>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</si>
  <si>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</si>
  <si>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</si>
  <si>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</si>
  <si>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</si>
  <si>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</si>
  <si>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</si>
  <si>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</si>
  <si>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</si>
  <si>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</si>
  <si>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</si>
  <si>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</si>
  <si>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</si>
  <si>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</si>
  <si>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</si>
  <si>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</si>
  <si>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</si>
  <si>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</si>
  <si>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</si>
  <si>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</si>
  <si>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</si>
  <si>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</si>
  <si>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</si>
  <si>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</si>
  <si>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</si>
  <si>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</si>
  <si>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</si>
  <si>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</si>
  <si>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</si>
  <si>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</si>
  <si>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</si>
  <si>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</si>
  <si>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</si>
  <si>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</si>
  <si>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</si>
  <si>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</si>
  <si>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</si>
  <si>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</si>
  <si>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</si>
  <si>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</si>
  <si>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</si>
  <si>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</si>
  <si>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</si>
  <si>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</si>
  <si>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</si>
  <si>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</si>
  <si>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</si>
  <si>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</si>
  <si>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</si>
  <si>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</si>
  <si>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</si>
  <si>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</si>
  <si>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</si>
  <si>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</si>
  <si>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</si>
  <si>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</si>
  <si>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</si>
  <si>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</si>
  <si>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</si>
  <si>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</si>
  <si>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</si>
  <si>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</si>
  <si>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</si>
  <si>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</si>
  <si>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</si>
  <si>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</si>
  <si>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</si>
  <si>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</si>
  <si>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</si>
  <si>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</si>
  <si>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</si>
  <si>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</si>
  <si>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</si>
  <si>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</si>
  <si>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</si>
  <si>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</si>
  <si>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</si>
  <si>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</si>
  <si>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</si>
  <si>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</si>
  <si>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</si>
  <si>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</si>
  <si>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</si>
  <si>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</si>
  <si>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</si>
  <si>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</si>
  <si>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</si>
  <si>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</si>
  <si>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</si>
  <si>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</si>
  <si>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</si>
  <si>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</si>
  <si>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</si>
  <si>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</si>
  <si>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</si>
  <si>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</si>
  <si>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</si>
  <si>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</si>
  <si>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</si>
  <si>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</si>
  <si>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</si>
  <si>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</si>
  <si>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</si>
  <si>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</si>
  <si>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</si>
  <si>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</si>
  <si>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</si>
  <si>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</si>
  <si>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</si>
  <si>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</si>
  <si>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</si>
  <si>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</si>
  <si>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</si>
  <si>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</si>
  <si>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</si>
  <si>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</si>
  <si>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</si>
  <si>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</si>
  <si>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</si>
  <si>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</si>
  <si>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</si>
  <si>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</si>
  <si>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</si>
  <si>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</si>
  <si>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</si>
  <si>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</si>
  <si>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</si>
  <si>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</si>
  <si>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</si>
  <si>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</si>
  <si>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</si>
  <si>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</si>
  <si>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</si>
  <si>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</si>
  <si>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</si>
  <si>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</si>
  <si>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</si>
  <si>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</si>
  <si>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</si>
  <si>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</si>
  <si>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</si>
  <si>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</si>
  <si>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</si>
  <si>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</si>
  <si>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</si>
  <si>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</si>
  <si>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</si>
  <si>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</si>
  <si>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</si>
  <si>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</si>
  <si>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</si>
  <si>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</si>
  <si>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</si>
  <si>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</si>
  <si>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</si>
  <si>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</si>
  <si>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</si>
  <si>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</si>
  <si>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</si>
  <si>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</si>
  <si>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</si>
  <si>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</si>
  <si>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</si>
  <si>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</si>
  <si>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</si>
  <si>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</si>
  <si>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</si>
  <si>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</si>
  <si>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</si>
  <si>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</si>
  <si>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</si>
  <si>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</si>
  <si>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</si>
  <si>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</si>
  <si>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</si>
  <si>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</si>
  <si>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</si>
  <si>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</si>
  <si>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</si>
  <si>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</si>
  <si>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</si>
  <si>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</si>
  <si>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</si>
  <si>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</si>
  <si>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</si>
  <si>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</si>
  <si>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</si>
  <si>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</si>
  <si>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</si>
  <si>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</si>
  <si>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</si>
  <si>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</si>
  <si>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</si>
  <si>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</si>
  <si>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</si>
  <si>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</si>
  <si>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</si>
  <si>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</si>
  <si>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</si>
  <si>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</si>
  <si>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</si>
  <si>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</si>
  <si>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</si>
  <si>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</si>
  <si>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</si>
  <si>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</si>
  <si>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</si>
  <si>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</si>
  <si>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</si>
  <si>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</si>
  <si>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</si>
  <si>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</si>
  <si>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</si>
  <si>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</si>
  <si>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</si>
  <si>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</si>
  <si>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</si>
  <si>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</si>
  <si>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</si>
  <si>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</si>
  <si>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</si>
  <si>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</si>
  <si>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</si>
  <si>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</si>
  <si>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</si>
  <si>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</si>
  <si>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</si>
  <si>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</si>
  <si>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</si>
  <si>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</si>
  <si>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</si>
  <si>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</si>
  <si>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</si>
  <si>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</si>
  <si>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</si>
  <si>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</si>
  <si>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</si>
  <si>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</si>
  <si>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</si>
  <si>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</si>
  <si>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</si>
  <si>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</si>
  <si>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</si>
  <si>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</si>
  <si>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</si>
  <si>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</si>
  <si>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</si>
  <si>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</si>
  <si>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</si>
  <si>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</si>
  <si>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</si>
  <si>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</si>
  <si>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</si>
  <si>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</si>
  <si>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</si>
  <si>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</si>
  <si>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</si>
  <si>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</si>
  <si>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</si>
  <si>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</si>
  <si>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</si>
  <si>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</si>
  <si>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</si>
  <si>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</si>
  <si>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</si>
  <si>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</si>
  <si>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</si>
  <si>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</si>
  <si>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</si>
  <si>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</si>
  <si>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</si>
  <si>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</si>
  <si>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</si>
  <si>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</si>
  <si>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</si>
  <si>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</si>
  <si>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</si>
  <si>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</si>
  <si>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</si>
  <si>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</si>
  <si>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</si>
  <si>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</si>
  <si>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</si>
  <si>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</si>
  <si>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</si>
  <si>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</si>
  <si>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</si>
  <si>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</si>
  <si>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</si>
  <si>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</si>
  <si>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</si>
  <si>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</si>
  <si>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</si>
  <si>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</si>
  <si>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</si>
  <si>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</si>
  <si>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</si>
  <si>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</si>
  <si>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</si>
  <si>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</si>
  <si>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</si>
  <si>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</si>
  <si>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</si>
  <si>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</si>
  <si>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</si>
  <si>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</si>
  <si>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</si>
  <si>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</si>
  <si>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</si>
  <si>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</si>
  <si>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</si>
  <si>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</si>
  <si>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</si>
  <si>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</si>
  <si>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</si>
  <si>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</si>
  <si>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</si>
  <si>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</si>
  <si>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</si>
  <si>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</si>
  <si>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</si>
  <si>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</si>
  <si>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</si>
  <si>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</si>
  <si>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</si>
  <si>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</si>
  <si>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</si>
  <si>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</si>
  <si>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</si>
  <si>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</si>
  <si>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</si>
  <si>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</si>
  <si>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</si>
  <si>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</si>
  <si>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</si>
  <si>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</si>
  <si>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</si>
  <si>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</si>
  <si>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</si>
  <si>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</si>
  <si>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</si>
  <si>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</si>
  <si>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</si>
  <si>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</si>
  <si>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</si>
  <si>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</si>
  <si>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</si>
  <si>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</si>
  <si>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</si>
  <si>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</si>
  <si>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</si>
  <si>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</si>
  <si>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</si>
  <si>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</si>
  <si>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</si>
  <si>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</si>
  <si>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</si>
  <si>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</si>
  <si>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</si>
  <si>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</si>
  <si>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</si>
  <si>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</si>
  <si>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</si>
  <si>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</si>
  <si>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</si>
  <si>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</si>
  <si>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</si>
  <si>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</si>
  <si>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</si>
  <si>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</si>
  <si>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</si>
  <si>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</si>
  <si>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</si>
  <si>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</si>
  <si>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</si>
  <si>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</si>
  <si>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</si>
  <si>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</si>
  <si>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</si>
  <si>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</si>
  <si>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</si>
  <si>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</si>
  <si>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</si>
  <si>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</si>
  <si>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</si>
  <si>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</si>
  <si>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</si>
  <si>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</si>
  <si>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</si>
  <si>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</si>
  <si>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</si>
  <si>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</si>
  <si>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</si>
  <si>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</si>
  <si>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</si>
  <si>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</si>
  <si>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</si>
  <si>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</si>
  <si>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</si>
  <si>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</si>
  <si>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</si>
  <si>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</si>
  <si>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</si>
  <si>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</si>
  <si>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</si>
  <si>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</si>
  <si>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</si>
  <si>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</si>
  <si>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</si>
  <si>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</si>
  <si>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</si>
  <si>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</si>
  <si>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</si>
  <si>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</si>
  <si>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</si>
  <si>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</si>
  <si>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</si>
  <si>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</si>
  <si>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</si>
  <si>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</si>
  <si>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</si>
  <si>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</si>
  <si>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</si>
  <si>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</si>
  <si>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</si>
  <si>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</si>
  <si>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</si>
  <si>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</si>
  <si>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</si>
  <si>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</si>
  <si>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</si>
  <si>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</si>
  <si>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</si>
  <si>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</si>
  <si>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</si>
  <si>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</si>
  <si>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</si>
  <si>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</si>
  <si>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</si>
  <si>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</si>
  <si>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</si>
  <si>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</si>
  <si>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</si>
  <si>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</si>
  <si>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</si>
  <si>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</si>
  <si>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</si>
  <si>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</si>
  <si>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</si>
  <si>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</si>
  <si>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</si>
  <si>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</si>
  <si>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</si>
  <si>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</si>
  <si>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</si>
  <si>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</si>
  <si>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</si>
  <si>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</si>
  <si>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</si>
  <si>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</si>
  <si>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</si>
  <si>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</si>
  <si>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</si>
  <si>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</si>
  <si>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</si>
  <si>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</si>
  <si>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</si>
  <si>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</si>
  <si>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</si>
  <si>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</si>
  <si>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</si>
  <si>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</si>
  <si>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</si>
  <si>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</si>
  <si>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</si>
  <si>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</si>
  <si>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</si>
  <si>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</si>
  <si>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</si>
  <si>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</si>
  <si>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</si>
  <si>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</si>
  <si>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</si>
  <si>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</si>
  <si>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</si>
  <si>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</si>
  <si>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</si>
  <si>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</si>
  <si>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</si>
  <si>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</si>
  <si>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</si>
  <si>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</si>
  <si>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</si>
  <si>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</si>
  <si>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</si>
  <si>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</si>
  <si>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</si>
  <si>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</si>
  <si>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</si>
  <si>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</si>
  <si>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</si>
  <si>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</si>
  <si>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</si>
  <si>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</si>
  <si>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</si>
  <si>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</si>
  <si>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</si>
  <si>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</si>
  <si>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</si>
  <si>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</si>
  <si>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</si>
  <si>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</si>
  <si>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</si>
  <si>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</si>
  <si>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</si>
  <si>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</si>
  <si>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</si>
  <si>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</si>
  <si>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</si>
  <si>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</si>
  <si>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</si>
  <si>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</si>
  <si>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</si>
  <si>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</si>
  <si>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</si>
  <si>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</si>
  <si>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</si>
  <si>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</si>
  <si>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</si>
  <si>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</si>
  <si>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</si>
  <si>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</si>
  <si>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</si>
  <si>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</si>
  <si>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</si>
  <si>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</si>
  <si>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</si>
  <si>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</si>
  <si>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</si>
  <si>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</si>
  <si>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</si>
  <si>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</si>
  <si>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</si>
  <si>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</si>
  <si>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</si>
  <si>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</si>
  <si>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</si>
  <si>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</si>
  <si>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</si>
  <si>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</si>
  <si>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</si>
  <si>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</si>
  <si>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</si>
  <si>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</si>
  <si>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</si>
  <si>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</si>
  <si>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</si>
  <si>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</si>
  <si>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</si>
  <si>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</si>
  <si>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</si>
  <si>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</si>
  <si>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</si>
  <si>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</si>
  <si>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</si>
  <si>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</si>
  <si>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</si>
  <si>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</si>
  <si>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</si>
  <si>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</si>
  <si>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</si>
  <si>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</si>
  <si>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</si>
  <si>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</si>
  <si>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</si>
  <si>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</si>
  <si>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</si>
  <si>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</si>
  <si>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</si>
  <si>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</si>
  <si>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</si>
  <si>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</si>
  <si>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</si>
  <si>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</si>
  <si>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</si>
  <si>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</si>
  <si>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</si>
  <si>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</si>
  <si>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</si>
  <si>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</si>
  <si>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</si>
  <si>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</si>
  <si>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</si>
  <si>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</si>
  <si>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</si>
  <si>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</si>
  <si>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</si>
  <si>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</si>
  <si>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</si>
  <si>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</si>
  <si>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</si>
  <si>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</si>
  <si>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</si>
  <si>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</si>
  <si>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</si>
  <si>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</si>
  <si>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</si>
  <si>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</si>
  <si>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</si>
  <si>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</si>
  <si>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</si>
  <si>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</si>
  <si>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</si>
  <si>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</si>
  <si>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</si>
  <si>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</si>
  <si>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</si>
  <si>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</si>
  <si>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</si>
  <si>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</si>
  <si>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</si>
  <si>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</si>
  <si>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</si>
  <si>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</si>
  <si>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</si>
  <si>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</si>
  <si>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</si>
  <si>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</si>
  <si>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</si>
  <si>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</si>
  <si>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</si>
  <si>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</si>
  <si>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</si>
  <si>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</si>
  <si>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</si>
  <si>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</si>
  <si>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</si>
  <si>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</si>
  <si>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</si>
  <si>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</si>
  <si>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</si>
  <si>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</si>
  <si>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</si>
  <si>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</si>
  <si>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</si>
  <si>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</si>
  <si>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</si>
  <si>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</si>
  <si>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</si>
  <si>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</si>
  <si>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</si>
  <si>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</si>
  <si>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</si>
  <si>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</si>
  <si>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</si>
  <si>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</si>
  <si>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</si>
  <si>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</si>
  <si>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</si>
  <si>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</si>
  <si>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</si>
  <si>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</si>
  <si>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</si>
  <si>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</si>
  <si>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</si>
  <si>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</si>
  <si>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</si>
  <si>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</si>
  <si>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</si>
  <si>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</si>
  <si>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</si>
  <si>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</si>
  <si>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</si>
  <si>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</si>
  <si>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</si>
  <si>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</si>
  <si>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</si>
  <si>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</si>
  <si>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</si>
  <si>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</si>
  <si>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</si>
  <si>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</si>
  <si>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</si>
  <si>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</si>
  <si>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</si>
  <si>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</si>
  <si>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</si>
  <si>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</si>
  <si>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</si>
  <si>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</si>
  <si>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</si>
  <si>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</si>
  <si>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</si>
  <si>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</si>
  <si>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</si>
  <si>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</si>
  <si>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</si>
  <si>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</si>
  <si>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</si>
  <si>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</si>
  <si>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</si>
  <si>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</si>
  <si>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</si>
  <si>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</si>
  <si>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</si>
  <si>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</si>
  <si>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</si>
  <si>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</si>
  <si>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</si>
  <si>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</si>
  <si>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</si>
  <si>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</si>
  <si>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</si>
  <si>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</si>
  <si>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</si>
  <si>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</si>
  <si>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</si>
  <si>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</si>
  <si>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</si>
  <si>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</si>
  <si>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</si>
  <si>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</si>
  <si>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</si>
  <si>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</si>
  <si>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</si>
  <si>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</si>
  <si>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</si>
  <si>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</si>
  <si>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</si>
  <si>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</si>
  <si>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</si>
  <si>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</si>
  <si>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</si>
  <si>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</si>
  <si>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</si>
  <si>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</si>
  <si>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</si>
  <si>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</si>
  <si>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</si>
  <si>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</si>
  <si>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</si>
  <si>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</si>
  <si>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</si>
  <si>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</si>
  <si>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</si>
  <si>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</si>
  <si>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</si>
  <si>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</si>
  <si>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</si>
  <si>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</si>
  <si>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</si>
  <si>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</si>
  <si>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</si>
  <si>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</si>
  <si>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</si>
  <si>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</si>
  <si>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</si>
  <si>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</si>
  <si>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</si>
  <si>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</si>
  <si>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</si>
  <si>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</si>
  <si>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</si>
  <si>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</si>
  <si>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</si>
  <si>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</si>
  <si>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</si>
  <si>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</si>
  <si>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</si>
  <si>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</si>
  <si>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</si>
  <si>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</si>
  <si>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</si>
  <si>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</si>
  <si>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</si>
  <si>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</si>
  <si>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</si>
  <si>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</si>
  <si>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</si>
  <si>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</si>
  <si>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</si>
  <si>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</si>
  <si>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</si>
  <si>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</si>
  <si>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</si>
  <si>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</si>
  <si>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</si>
  <si>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</si>
  <si>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</si>
  <si>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</si>
  <si>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</si>
  <si>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</si>
  <si>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</si>
  <si>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</si>
  <si>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</si>
  <si>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</si>
  <si>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</si>
  <si>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</si>
  <si>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</si>
  <si>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</si>
  <si>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</si>
  <si>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</si>
  <si>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</si>
  <si>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</si>
  <si>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</si>
  <si>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</si>
  <si>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</si>
  <si>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</si>
  <si>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</si>
  <si>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</si>
  <si>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</si>
  <si>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</si>
  <si>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</si>
  <si>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</si>
  <si>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</si>
  <si>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</si>
  <si>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</si>
  <si>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</si>
  <si>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</si>
  <si>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</si>
  <si>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</si>
  <si>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</si>
  <si>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</si>
  <si>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</si>
  <si>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</si>
  <si>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</si>
  <si>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</si>
  <si>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</si>
  <si>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</si>
  <si>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</si>
  <si>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</si>
  <si>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</si>
  <si>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</si>
  <si>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</si>
  <si>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</si>
  <si>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</si>
  <si>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</si>
  <si>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</si>
  <si>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</si>
  <si>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</si>
  <si>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</si>
  <si>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</si>
  <si>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</si>
  <si>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</si>
  <si>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</si>
  <si>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</si>
  <si>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</si>
  <si>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</si>
  <si>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</si>
  <si>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</si>
  <si>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</si>
  <si>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</si>
  <si>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</si>
  <si>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</si>
  <si>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</si>
  <si>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</si>
  <si>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</si>
  <si>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</si>
  <si>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</si>
  <si>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</si>
  <si>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</si>
  <si>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</si>
  <si>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</si>
  <si>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</si>
  <si>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</si>
  <si>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</si>
  <si>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</si>
  <si>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</si>
  <si>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</si>
  <si>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</si>
  <si>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</si>
  <si>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</si>
  <si>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</si>
  <si>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</si>
  <si>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</si>
  <si>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</si>
  <si>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</si>
  <si>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</si>
  <si>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</si>
  <si>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</si>
  <si>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</si>
  <si>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</si>
  <si>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</si>
  <si>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</si>
  <si>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</si>
  <si>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</si>
  <si>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</si>
  <si>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</si>
  <si>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</si>
  <si>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</si>
  <si>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</si>
  <si>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</si>
  <si>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</si>
  <si>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</si>
  <si>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</si>
  <si>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</si>
  <si>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</si>
  <si>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</si>
  <si>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</si>
  <si>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</si>
  <si>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</si>
  <si>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</si>
  <si>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</si>
  <si>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</si>
  <si>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</si>
  <si>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</si>
  <si>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</si>
  <si>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</si>
  <si>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</si>
  <si>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</si>
  <si>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</si>
  <si>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</si>
  <si>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</si>
  <si>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</si>
  <si>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</si>
  <si>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</si>
  <si>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</si>
  <si>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</si>
  <si>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</si>
  <si>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</si>
  <si>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</si>
  <si>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</si>
  <si>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</si>
  <si>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</si>
  <si>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</si>
  <si>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</si>
  <si>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</si>
  <si>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</si>
  <si>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</si>
  <si>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</si>
  <si>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</si>
  <si>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</si>
  <si>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</si>
  <si>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</si>
  <si>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</si>
  <si>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</si>
  <si>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</si>
  <si>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</si>
  <si>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</si>
  <si>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</si>
  <si>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</si>
  <si>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</si>
  <si>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</si>
  <si>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</si>
  <si>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</si>
  <si>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</si>
  <si>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</si>
  <si>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</si>
  <si>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</si>
  <si>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</si>
  <si>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</si>
  <si>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</si>
  <si>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</si>
  <si>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</si>
  <si>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</si>
  <si>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</si>
  <si>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</si>
  <si>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</si>
  <si>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</si>
  <si>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</si>
  <si>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</si>
  <si>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</si>
  <si>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</si>
  <si>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</si>
  <si>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</si>
  <si>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</si>
  <si>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</si>
  <si>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</si>
  <si>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</si>
  <si>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</si>
  <si>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</si>
  <si>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</si>
  <si>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</si>
  <si>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</si>
  <si>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</si>
  <si>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</si>
  <si>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</si>
  <si>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</si>
  <si>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</si>
  <si>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</si>
  <si>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</si>
  <si>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</si>
  <si>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</si>
  <si>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</si>
  <si>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</si>
  <si>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</si>
  <si>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</si>
  <si>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</si>
  <si>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</si>
  <si>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</si>
  <si>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</si>
  <si>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</si>
  <si>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</si>
  <si>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</si>
  <si>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</si>
  <si>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</si>
  <si>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</si>
  <si>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</si>
  <si>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</si>
  <si>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</si>
  <si>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</si>
  <si>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</si>
  <si>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</si>
  <si>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</si>
  <si>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</si>
  <si>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</si>
  <si>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</si>
  <si>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</si>
  <si>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</si>
  <si>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</si>
  <si>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</si>
  <si>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</si>
  <si>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</si>
  <si>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</si>
  <si>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</si>
  <si>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</si>
  <si>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</si>
  <si>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</si>
  <si>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</si>
  <si>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</si>
  <si>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</si>
  <si>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</si>
  <si>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</si>
  <si>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</si>
  <si>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</si>
  <si>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</si>
  <si>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</si>
  <si>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</si>
  <si>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</si>
  <si>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</si>
  <si>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</si>
  <si>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</si>
  <si>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</si>
  <si>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</si>
  <si>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</si>
  <si>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</si>
  <si>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</si>
  <si>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</si>
  <si>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</si>
  <si>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</si>
  <si>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</si>
  <si>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</si>
  <si>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</si>
  <si>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</si>
  <si>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</si>
  <si>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</si>
  <si>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</si>
  <si>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</si>
  <si>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</si>
  <si>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</si>
  <si>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</si>
  <si>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</si>
  <si>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</si>
  <si>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</si>
  <si>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</si>
  <si>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</si>
  <si>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</si>
  <si>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</si>
  <si>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</si>
  <si>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</si>
  <si>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</si>
  <si>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</si>
  <si>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</si>
  <si>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</si>
  <si>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</si>
  <si>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</si>
  <si>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</si>
  <si>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</si>
  <si>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</si>
  <si>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</si>
  <si>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</si>
  <si>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</si>
  <si>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</si>
  <si>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</si>
  <si>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</si>
  <si>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</si>
  <si>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</si>
  <si>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</si>
  <si>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</si>
  <si>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</si>
  <si>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</si>
  <si>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</si>
  <si>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</si>
  <si>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</si>
  <si>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</si>
  <si>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</si>
  <si>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</si>
  <si>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</si>
  <si>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</si>
  <si>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</si>
  <si>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</si>
  <si>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</si>
  <si>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</si>
  <si>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</si>
  <si>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</si>
  <si>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</si>
  <si>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</si>
  <si>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</si>
  <si>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</si>
  <si>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</si>
  <si>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</si>
  <si>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</si>
  <si>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</si>
  <si>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</si>
  <si>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</si>
  <si>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</si>
  <si>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</si>
  <si>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</si>
  <si>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</si>
  <si>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</si>
  <si>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</si>
  <si>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</si>
  <si>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</si>
  <si>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</si>
  <si>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</si>
  <si>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</si>
  <si>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</si>
  <si>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</si>
  <si>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</si>
  <si>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</si>
  <si>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</si>
  <si>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</si>
  <si>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</si>
  <si>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</si>
  <si>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</si>
  <si>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</si>
  <si>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</si>
  <si>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</si>
  <si>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</si>
  <si>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</si>
  <si>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</si>
  <si>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</si>
  <si>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</si>
  <si>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</si>
  <si>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</si>
  <si>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</si>
  <si>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</si>
  <si>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</si>
  <si>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</si>
  <si>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</si>
  <si>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</si>
  <si>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</si>
  <si>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</si>
  <si>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</si>
  <si>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</si>
  <si>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</si>
  <si>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</si>
  <si>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</si>
  <si>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</si>
  <si>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</si>
  <si>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</si>
  <si>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</si>
  <si>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</si>
  <si>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</si>
  <si>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</si>
  <si>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</si>
  <si>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</si>
  <si>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</si>
  <si>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</si>
  <si>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</si>
  <si>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</si>
  <si>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</si>
  <si>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</si>
  <si>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</si>
  <si>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</si>
  <si>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</si>
  <si>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</si>
  <si>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</si>
  <si>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</si>
  <si>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</si>
  <si>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</si>
  <si>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</si>
  <si>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</si>
  <si>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</si>
  <si>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</si>
  <si>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</si>
  <si>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</si>
  <si>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</si>
  <si>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</si>
  <si>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</si>
  <si>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</si>
  <si>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</si>
  <si>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</si>
  <si>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</si>
  <si>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</si>
  <si>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</si>
  <si>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</si>
  <si>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</si>
  <si>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</si>
  <si>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</si>
  <si>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</si>
  <si>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</si>
  <si>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</si>
  <si>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</si>
  <si>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</si>
  <si>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</si>
  <si>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</si>
  <si>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</si>
  <si>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</si>
  <si>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</si>
  <si>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</si>
  <si>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</si>
  <si>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</si>
  <si>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</si>
  <si>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</si>
  <si>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</si>
  <si>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</si>
  <si>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</si>
  <si>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</si>
  <si>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</si>
  <si>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</si>
  <si>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</si>
  <si>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</si>
  <si>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</si>
  <si>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</si>
  <si>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</si>
  <si>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</si>
  <si>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</si>
  <si>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</si>
  <si>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</si>
  <si>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</si>
  <si>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</si>
  <si>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</si>
  <si>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</si>
  <si>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</si>
  <si>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</si>
  <si>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</si>
  <si>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</si>
  <si>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</si>
  <si>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</si>
  <si>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</si>
  <si>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</si>
  <si>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</si>
  <si>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</si>
  <si>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</si>
  <si>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</si>
  <si>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</si>
  <si>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</si>
  <si>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</si>
  <si>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</si>
  <si>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</si>
  <si>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</si>
  <si>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</si>
  <si>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</si>
  <si>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</si>
  <si>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</si>
  <si>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</si>
  <si>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</si>
  <si>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</si>
  <si>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</si>
  <si>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</si>
  <si>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</si>
  <si>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</si>
  <si>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</si>
  <si>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</si>
  <si>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</si>
  <si>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</si>
  <si>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</si>
  <si>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</si>
  <si>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</si>
  <si>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</si>
  <si>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</si>
  <si>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</si>
  <si>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</si>
  <si>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</si>
  <si>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</si>
  <si>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</si>
  <si>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</si>
  <si>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</si>
  <si>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</si>
  <si>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</si>
  <si>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</si>
  <si>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</si>
  <si>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</si>
  <si>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</si>
  <si>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</si>
  <si>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</si>
  <si>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</si>
  <si>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</si>
  <si>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</si>
  <si>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</si>
  <si>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</si>
  <si>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</si>
  <si>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</si>
  <si>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</si>
  <si>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</si>
  <si>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</si>
  <si>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</si>
  <si>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</si>
  <si>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</si>
  <si>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</si>
  <si>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</si>
  <si>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</si>
  <si>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</si>
  <si>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</si>
  <si>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</si>
  <si>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</si>
  <si>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</si>
  <si>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</si>
  <si>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</si>
  <si>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</si>
  <si>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</si>
  <si>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</si>
  <si>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</si>
  <si>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</si>
  <si>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</si>
  <si>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</si>
  <si>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</si>
  <si>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</si>
  <si>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</si>
  <si>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</si>
  <si>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</si>
  <si>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</si>
  <si>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</si>
  <si>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</si>
  <si>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</si>
  <si>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</si>
  <si>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</si>
  <si>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</si>
  <si>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</si>
  <si>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</si>
  <si>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</si>
  <si>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</si>
  <si>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</si>
  <si>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</si>
  <si>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</si>
  <si>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</si>
  <si>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</si>
  <si>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</si>
  <si>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</si>
  <si>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</si>
  <si>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</si>
  <si>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</si>
  <si>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</si>
  <si>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</si>
  <si>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</si>
  <si>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</si>
  <si>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</si>
  <si>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</si>
  <si>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</si>
  <si>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</si>
  <si>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</si>
  <si>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</si>
  <si>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</si>
  <si>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</si>
  <si>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</si>
  <si>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</si>
  <si>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</si>
  <si>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</si>
  <si>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</si>
  <si>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</si>
  <si>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</si>
  <si>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</si>
  <si>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</si>
  <si>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</si>
  <si>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</si>
  <si>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</si>
  <si>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</si>
  <si>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</si>
  <si>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</si>
  <si>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</si>
  <si>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</si>
  <si>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</si>
  <si>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</si>
  <si>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</si>
  <si>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</si>
  <si>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</si>
  <si>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</si>
  <si>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</si>
  <si>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</si>
  <si>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</si>
  <si>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</si>
  <si>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</si>
  <si>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</si>
  <si>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</si>
  <si>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</si>
  <si>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</si>
  <si>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</si>
  <si>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</si>
  <si>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</si>
  <si>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</si>
  <si>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</si>
  <si>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</si>
  <si>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</si>
  <si>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</si>
  <si>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</si>
  <si>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</si>
  <si>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</si>
  <si>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</si>
  <si>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</si>
  <si>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</si>
  <si>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</si>
  <si>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</si>
  <si>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</si>
  <si>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</si>
  <si>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</si>
  <si>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</si>
  <si>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</si>
  <si>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</si>
  <si>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</si>
  <si>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</si>
  <si>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</si>
  <si>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</si>
  <si>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</si>
  <si>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</si>
  <si>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</si>
  <si>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</si>
  <si>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</si>
  <si>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</si>
  <si>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</si>
  <si>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</si>
  <si>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</si>
  <si>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</si>
  <si>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</si>
  <si>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</si>
  <si>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</si>
  <si>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</si>
  <si>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</si>
  <si>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</si>
  <si>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</si>
  <si>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</si>
  <si>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</si>
  <si>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</si>
  <si>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</si>
  <si>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</si>
  <si>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</si>
  <si>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</si>
  <si>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</si>
  <si>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</si>
  <si>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</si>
  <si>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</si>
  <si>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</si>
  <si>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</si>
  <si>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</si>
  <si>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</si>
  <si>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</si>
  <si>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</si>
  <si>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</si>
  <si>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</si>
  <si>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</si>
  <si>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</si>
  <si>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</si>
  <si>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</si>
  <si>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</si>
  <si>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</si>
  <si>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</si>
  <si>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</si>
  <si>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</si>
  <si>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</si>
  <si>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</si>
  <si>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</si>
  <si>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</si>
  <si>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</si>
  <si>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</si>
  <si>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</si>
  <si>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</si>
  <si>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</si>
  <si>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</si>
  <si>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</si>
  <si>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</si>
  <si>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</si>
  <si>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</si>
  <si>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</si>
  <si>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</si>
  <si>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</si>
  <si>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</si>
  <si>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</si>
  <si>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</si>
  <si>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</si>
  <si>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</si>
  <si>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</si>
  <si>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</si>
  <si>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</si>
  <si>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</si>
  <si>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</si>
  <si>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</si>
  <si>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</si>
  <si>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</si>
  <si>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</si>
  <si>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</si>
  <si>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</si>
  <si>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</si>
  <si>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</si>
  <si>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</si>
  <si>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</si>
  <si>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</si>
  <si>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</si>
  <si>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</si>
  <si>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</si>
  <si>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</si>
  <si>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</si>
  <si>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</si>
  <si>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</si>
  <si>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</si>
  <si>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</si>
  <si>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</si>
  <si>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</si>
  <si>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</si>
  <si>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</si>
  <si>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</si>
  <si>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</si>
  <si>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</si>
  <si>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</si>
  <si>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</si>
  <si>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</si>
  <si>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</si>
  <si>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</si>
  <si>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</si>
  <si>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</si>
  <si>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</si>
  <si>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</si>
  <si>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</si>
  <si>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</si>
  <si>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</si>
  <si>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</si>
  <si>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</si>
  <si>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</si>
  <si>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</si>
  <si>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</si>
  <si>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</si>
  <si>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</si>
  <si>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</si>
  <si>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</si>
  <si>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</si>
  <si>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</si>
  <si>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</si>
  <si>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</si>
  <si>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</si>
  <si>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</si>
  <si>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</si>
  <si>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</si>
  <si>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</si>
  <si>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</si>
  <si>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</si>
  <si>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</si>
  <si>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</si>
  <si>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</si>
  <si>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</si>
  <si>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</si>
  <si>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</si>
  <si>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</si>
  <si>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</si>
  <si>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</si>
  <si>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</si>
  <si>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</si>
  <si>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</si>
  <si>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</si>
  <si>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</si>
  <si>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</si>
  <si>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</si>
  <si>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</si>
  <si>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</si>
  <si>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</si>
  <si>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</si>
  <si>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</si>
  <si>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</si>
  <si>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</si>
  <si>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</si>
  <si>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</si>
  <si>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</si>
  <si>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</si>
  <si>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</si>
  <si>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</si>
  <si>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</si>
  <si>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</si>
  <si>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</si>
  <si>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</si>
  <si>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</si>
  <si>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</si>
  <si>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</si>
  <si>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</si>
  <si>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</si>
  <si>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</si>
  <si>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</si>
  <si>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</si>
  <si>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</si>
  <si>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</si>
  <si>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</si>
  <si>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</si>
  <si>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</si>
  <si>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</si>
  <si>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</si>
  <si>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</si>
  <si>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</si>
  <si>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</si>
  <si>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</si>
  <si>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</si>
  <si>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</si>
  <si>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</si>
  <si>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</si>
  <si>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</si>
  <si>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</si>
  <si>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</si>
  <si>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</si>
  <si>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</si>
  <si>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</si>
  <si>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</si>
  <si>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</si>
  <si>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</si>
  <si>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</si>
  <si>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</si>
  <si>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</si>
  <si>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</si>
  <si>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</si>
  <si>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</si>
  <si>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</si>
  <si>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</si>
  <si>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</si>
  <si>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</si>
  <si>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</si>
  <si>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</si>
  <si>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</si>
  <si>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</si>
  <si>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</si>
  <si>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</si>
  <si>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</si>
  <si>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</si>
  <si>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</si>
  <si>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</si>
  <si>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</si>
  <si>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</si>
  <si>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</si>
  <si>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</si>
  <si>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</si>
  <si>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</si>
  <si>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</si>
  <si>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</si>
  <si>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</si>
  <si>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</si>
  <si>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</si>
  <si>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</si>
  <si>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</si>
  <si>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</si>
  <si>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</si>
  <si>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</si>
  <si>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</si>
  <si>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</si>
  <si>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</si>
  <si>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</si>
  <si>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</si>
  <si>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</si>
  <si>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</si>
  <si>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</si>
  <si>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</si>
  <si>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</si>
  <si>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</si>
  <si>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</si>
  <si>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</si>
  <si>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</si>
  <si>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</si>
  <si>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</si>
  <si>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</si>
  <si>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</si>
  <si>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</si>
  <si>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</si>
  <si>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</si>
  <si>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</si>
  <si>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</si>
  <si>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</si>
  <si>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</si>
  <si>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</si>
  <si>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</si>
  <si>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</si>
  <si>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</si>
  <si>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</si>
  <si>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</si>
  <si>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</si>
  <si>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</si>
  <si>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</si>
  <si>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</si>
  <si>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</si>
  <si>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</si>
  <si>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</si>
  <si>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</si>
  <si>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</si>
  <si>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</si>
  <si>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</si>
  <si>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</si>
  <si>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</si>
  <si>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</si>
  <si>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</si>
  <si>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</si>
  <si>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</si>
  <si>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</si>
  <si>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</si>
  <si>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</si>
  <si>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</si>
  <si>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</si>
  <si>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</si>
  <si>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</si>
  <si>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</si>
  <si>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</si>
  <si>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</si>
  <si>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</si>
  <si>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</si>
  <si>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</si>
  <si>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</si>
  <si>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</si>
  <si>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</si>
  <si>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</si>
  <si>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</si>
  <si>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</si>
  <si>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</si>
  <si>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</si>
  <si>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</si>
  <si>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</si>
  <si>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</si>
  <si>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</si>
  <si>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</si>
  <si>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</si>
  <si>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</si>
  <si>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</si>
  <si>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</si>
  <si>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</si>
  <si>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</si>
  <si>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</si>
  <si>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</si>
  <si>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</si>
  <si>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</si>
  <si>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</si>
  <si>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</si>
  <si>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</si>
  <si>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</si>
  <si>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</si>
  <si>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</si>
  <si>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</si>
  <si>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</si>
  <si>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</si>
  <si>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</si>
  <si>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</si>
  <si>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</si>
  <si>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</si>
  <si>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</si>
  <si>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</si>
  <si>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</si>
  <si>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</si>
  <si>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</si>
  <si>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</si>
  <si>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</si>
  <si>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</si>
  <si>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</si>
  <si>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</si>
  <si>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</si>
  <si>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</si>
  <si>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</si>
  <si>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</si>
  <si>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</si>
  <si>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</si>
  <si>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</si>
  <si>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</si>
  <si>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</si>
  <si>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</si>
  <si>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</si>
  <si>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</si>
  <si>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</si>
  <si>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</si>
  <si>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</si>
  <si>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</si>
  <si>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</si>
  <si>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</si>
  <si>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</si>
  <si>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</si>
  <si>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</si>
  <si>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</si>
  <si>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</si>
  <si>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</si>
  <si>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</si>
  <si>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</si>
  <si>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</si>
  <si>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</si>
  <si>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</si>
  <si>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</si>
  <si>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</si>
  <si>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</si>
  <si>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</si>
  <si>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</si>
  <si>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</si>
  <si>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</si>
  <si>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</si>
  <si>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</si>
  <si>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</si>
  <si>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</si>
  <si>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</si>
  <si>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</si>
  <si>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</si>
  <si>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</si>
  <si>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</si>
  <si>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</si>
  <si>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</si>
  <si>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</si>
  <si>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</si>
  <si>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</si>
  <si>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</si>
  <si>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</si>
  <si>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</si>
  <si>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</si>
  <si>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</si>
  <si>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</si>
  <si>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</si>
  <si>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</si>
  <si>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</si>
  <si>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</si>
  <si>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</si>
  <si>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</si>
  <si>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</si>
  <si>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</si>
  <si>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</si>
  <si>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</si>
  <si>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</si>
  <si>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</si>
  <si>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</si>
  <si>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</si>
  <si>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</si>
  <si>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</si>
  <si>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</si>
  <si>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</si>
  <si>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</si>
  <si>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</si>
  <si>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</si>
  <si>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</si>
  <si>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</si>
  <si>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</si>
  <si>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</si>
  <si>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</si>
  <si>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</si>
  <si>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</si>
  <si>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</si>
  <si>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</si>
  <si>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</si>
  <si>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</si>
  <si>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</si>
  <si>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</si>
  <si>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</si>
  <si>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</si>
  <si>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</si>
  <si>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</si>
  <si>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</si>
  <si>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</si>
  <si>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</si>
  <si>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</si>
  <si>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</si>
  <si>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</si>
  <si>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</si>
  <si>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</si>
  <si>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</si>
  <si>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</si>
  <si>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</si>
  <si>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</si>
  <si>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</si>
  <si>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</si>
  <si>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</si>
  <si>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</si>
  <si>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</si>
  <si>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</si>
  <si>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</si>
  <si>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</si>
  <si>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</si>
  <si>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</si>
  <si>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</si>
  <si>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</si>
  <si>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</si>
  <si>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</si>
  <si>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</si>
  <si>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</si>
  <si>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</si>
  <si>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</si>
  <si>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</si>
  <si>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</si>
  <si>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</si>
  <si>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</si>
  <si>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</si>
  <si>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</si>
  <si>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</si>
  <si>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</si>
  <si>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</si>
  <si>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</si>
  <si>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</si>
  <si>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</si>
  <si>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</si>
  <si>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</si>
  <si>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</si>
  <si>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</si>
  <si>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</si>
  <si>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</si>
  <si>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</si>
  <si>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</si>
  <si>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</si>
  <si>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</si>
  <si>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</si>
  <si>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</si>
  <si>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</si>
  <si>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</si>
  <si>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</si>
  <si>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</si>
  <si>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</si>
  <si>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</si>
  <si>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</si>
  <si>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</si>
  <si>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</si>
  <si>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</si>
  <si>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</si>
  <si>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</si>
  <si>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</si>
  <si>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</si>
  <si>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</si>
  <si>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</si>
  <si>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</si>
  <si>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</si>
  <si>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</si>
  <si>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</si>
  <si>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</si>
  <si>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</si>
  <si>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</si>
  <si>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</si>
  <si>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</si>
  <si>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</si>
  <si>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</si>
  <si>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</si>
  <si>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</si>
  <si>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</si>
  <si>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</si>
  <si>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</si>
  <si>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</si>
  <si>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</si>
  <si>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</si>
  <si>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</si>
  <si>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</si>
  <si>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</si>
  <si>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</si>
  <si>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</si>
  <si>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</si>
  <si>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</si>
  <si>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</si>
  <si>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</si>
  <si>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</si>
  <si>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</si>
  <si>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</si>
  <si>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</si>
  <si>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</si>
  <si>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</si>
  <si>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</si>
  <si>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</si>
  <si>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</si>
  <si>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</si>
  <si>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</si>
  <si>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</si>
  <si>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</si>
  <si>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</si>
  <si>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</si>
  <si>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</si>
  <si>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</si>
  <si>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</si>
  <si>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</si>
  <si>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</si>
  <si>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</si>
  <si>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</si>
  <si>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</si>
  <si>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</si>
  <si>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</si>
  <si>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</si>
  <si>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</si>
  <si>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</si>
  <si>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</si>
  <si>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</si>
  <si>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</si>
  <si>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</si>
  <si>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</si>
  <si>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</si>
  <si>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</si>
  <si>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</si>
  <si>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</si>
  <si>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</si>
  <si>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</si>
  <si>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</si>
  <si>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</si>
  <si>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</si>
  <si>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</si>
  <si>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</si>
  <si>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</si>
  <si>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</si>
  <si>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</si>
  <si>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</si>
  <si>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</si>
  <si>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</si>
  <si>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</si>
  <si>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</si>
  <si>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</si>
  <si>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</si>
  <si>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</si>
  <si>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</si>
  <si>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</si>
  <si>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</si>
  <si>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</si>
  <si>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</si>
  <si>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</si>
  <si>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</si>
  <si>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</si>
  <si>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</si>
  <si>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</si>
  <si>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</si>
  <si>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</si>
  <si>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</si>
  <si>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</si>
  <si>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</si>
  <si>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</si>
  <si>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</si>
  <si>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</si>
  <si>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</si>
  <si>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</si>
  <si>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</si>
  <si>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</si>
  <si>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</si>
  <si>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</si>
  <si>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</si>
  <si>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</si>
  <si>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</si>
  <si>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</si>
  <si>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</si>
  <si>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</si>
  <si>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</si>
  <si>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</si>
  <si>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</si>
  <si>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</si>
  <si>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</si>
  <si>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</si>
  <si>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</si>
  <si>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</si>
  <si>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</si>
  <si>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</si>
  <si>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</si>
  <si>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</si>
  <si>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</si>
  <si>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</si>
  <si>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</si>
  <si>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</si>
  <si>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</si>
  <si>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</si>
  <si>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</si>
  <si>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</si>
  <si>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</si>
  <si>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</si>
  <si>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</si>
  <si>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</si>
  <si>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</si>
  <si>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</si>
  <si>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</si>
  <si>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</si>
  <si>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</si>
  <si>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</si>
  <si>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</si>
  <si>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</si>
  <si>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</si>
  <si>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</si>
  <si>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</si>
  <si>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</si>
  <si>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</si>
  <si>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</si>
  <si>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</si>
  <si>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</si>
  <si>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</si>
  <si>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</si>
  <si>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</si>
  <si>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</si>
  <si>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</si>
  <si>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</si>
  <si>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</si>
  <si>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</si>
  <si>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</si>
  <si>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</si>
  <si>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</si>
  <si>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</si>
  <si>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</si>
  <si>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</si>
  <si>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</si>
  <si>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</si>
  <si>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</si>
  <si>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</si>
  <si>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</si>
  <si>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</si>
  <si>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</si>
  <si>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</si>
  <si>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</si>
  <si>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</si>
  <si>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</si>
  <si>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</si>
  <si>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</si>
  <si>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</si>
  <si>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</si>
  <si>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</si>
  <si>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</si>
  <si>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</si>
  <si>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</si>
  <si>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</si>
  <si>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</si>
  <si>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</si>
  <si>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</si>
  <si>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</si>
  <si>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</si>
  <si>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</si>
  <si>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</si>
  <si>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</si>
  <si>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</si>
  <si>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</si>
  <si>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</si>
  <si>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</si>
  <si>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</si>
  <si>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</si>
  <si>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</si>
  <si>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</si>
  <si>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</si>
  <si>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</si>
  <si>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</si>
  <si>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</si>
  <si>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</si>
  <si>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</si>
  <si>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</si>
  <si>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</si>
  <si>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</si>
  <si>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</si>
  <si>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</si>
  <si>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</si>
  <si>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</si>
  <si>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</si>
  <si>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</si>
  <si>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</si>
  <si>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</si>
  <si>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</si>
  <si>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</si>
  <si>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</si>
  <si>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</si>
  <si>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</si>
  <si>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</si>
  <si>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</si>
  <si>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</si>
  <si>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</si>
  <si>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</si>
  <si>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</si>
  <si>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</si>
  <si>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</si>
  <si>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</si>
  <si>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</si>
  <si>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</si>
  <si>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</si>
  <si>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</si>
  <si>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</si>
  <si>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</si>
  <si>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</si>
  <si>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</si>
  <si>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</si>
  <si>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</si>
  <si>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</si>
  <si>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</si>
  <si>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</si>
  <si>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</si>
  <si>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</si>
  <si>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</si>
  <si>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</si>
  <si>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</si>
  <si>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</si>
  <si>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</si>
  <si>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</si>
  <si>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</si>
  <si>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</si>
  <si>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</si>
  <si>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</si>
  <si>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</si>
  <si>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</si>
  <si>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</si>
  <si>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</si>
  <si>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</si>
  <si>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</si>
  <si>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</si>
  <si>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</si>
  <si>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</si>
  <si>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</si>
  <si>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</si>
  <si>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</si>
  <si>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</si>
  <si>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</si>
  <si>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</si>
  <si>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</si>
  <si>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</si>
  <si>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</si>
  <si>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</si>
  <si>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</si>
  <si>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</si>
  <si>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</si>
  <si>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</si>
  <si>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</si>
  <si>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</si>
  <si>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</si>
  <si>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</si>
  <si>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</si>
  <si>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</si>
  <si>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</si>
  <si>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</si>
  <si>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</si>
  <si>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</si>
  <si>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</si>
  <si>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</si>
  <si>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</si>
  <si>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</si>
  <si>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</si>
  <si>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</si>
  <si>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</si>
  <si>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</si>
  <si>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</si>
  <si>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</si>
  <si>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</si>
  <si>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</si>
  <si>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</si>
  <si>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</si>
  <si>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</si>
  <si>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</si>
  <si>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</si>
  <si>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</si>
  <si>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</si>
  <si>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</si>
  <si>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</si>
  <si>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</si>
  <si>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</si>
  <si>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</si>
  <si>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</si>
  <si>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</si>
  <si>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</si>
  <si>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</si>
  <si>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</si>
  <si>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</si>
  <si>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</si>
  <si>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</si>
  <si>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</si>
  <si>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</si>
  <si>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</si>
  <si>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</si>
  <si>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</si>
  <si>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</si>
  <si>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</si>
  <si>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</si>
  <si>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</si>
  <si>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</si>
  <si>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</si>
  <si>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</si>
  <si>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</si>
  <si>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</si>
  <si>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</si>
  <si>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</si>
  <si>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</si>
  <si>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</si>
  <si>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</si>
  <si>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</si>
  <si>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</si>
  <si>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</si>
  <si>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</si>
  <si>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</si>
  <si>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</si>
  <si>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</si>
  <si>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</si>
  <si>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</si>
  <si>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</si>
  <si>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</si>
  <si>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</si>
  <si>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</si>
  <si>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</si>
  <si>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</si>
  <si>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</si>
  <si>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</si>
  <si>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</si>
  <si>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</si>
  <si>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</si>
  <si>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</si>
  <si>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</si>
  <si>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</si>
  <si>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</si>
  <si>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</si>
  <si>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</si>
  <si>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</si>
  <si>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</si>
  <si>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</si>
  <si>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</si>
  <si>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</si>
  <si>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</si>
  <si>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</si>
  <si>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</si>
  <si>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</si>
  <si>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</si>
  <si>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</si>
  <si>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</si>
  <si>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</si>
  <si>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</si>
  <si>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</si>
  <si>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</si>
  <si>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</si>
  <si>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</si>
  <si>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</si>
  <si>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</si>
  <si>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</si>
  <si>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</si>
  <si>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</si>
  <si>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</si>
  <si>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</si>
  <si>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</si>
  <si>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</si>
  <si>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</si>
  <si>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</si>
  <si>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</si>
  <si>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</si>
  <si>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</si>
  <si>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</si>
  <si>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</si>
  <si>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</si>
  <si>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</si>
  <si>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</si>
  <si>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</si>
  <si>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</si>
  <si>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</si>
  <si>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</si>
  <si>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</si>
  <si>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</si>
  <si>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</si>
  <si>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</si>
  <si>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</si>
  <si>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</si>
  <si>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</si>
  <si>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</si>
  <si>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</si>
  <si>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</si>
  <si>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</si>
  <si>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</si>
  <si>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</si>
  <si>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</si>
  <si>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</si>
  <si>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</si>
  <si>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</si>
  <si>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</si>
  <si>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</si>
  <si>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</si>
  <si>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</si>
  <si>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</si>
  <si>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</si>
  <si>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</si>
  <si>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</si>
  <si>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</si>
  <si>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</si>
  <si>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</si>
  <si>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</si>
  <si>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</si>
  <si>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</si>
  <si>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</si>
  <si>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</si>
  <si>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</si>
  <si>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</si>
  <si>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</si>
  <si>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</si>
  <si>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</si>
  <si>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</si>
  <si>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</si>
  <si>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</si>
  <si>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</si>
  <si>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</si>
  <si>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</si>
  <si>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</si>
  <si>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</si>
  <si>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</si>
  <si>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</si>
  <si>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</si>
  <si>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</si>
  <si>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</si>
  <si>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</si>
  <si>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</si>
  <si>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</si>
  <si>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</si>
  <si>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</si>
  <si>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</si>
  <si>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</si>
  <si>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</si>
  <si>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</si>
  <si>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</si>
  <si>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</si>
  <si>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</si>
  <si>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</si>
  <si>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</si>
  <si>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</si>
  <si>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</si>
  <si>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</si>
  <si>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</si>
  <si>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</si>
  <si>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</si>
  <si>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</si>
  <si>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</si>
  <si>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</si>
  <si>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</si>
  <si>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</si>
  <si>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</si>
  <si>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</si>
  <si>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</si>
  <si>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</si>
  <si>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</si>
  <si>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</si>
  <si>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</si>
  <si>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</si>
  <si>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</si>
  <si>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</si>
  <si>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</si>
  <si>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</si>
  <si>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</si>
  <si>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</si>
  <si>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</si>
  <si>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</si>
  <si>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</si>
  <si>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</si>
  <si>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</si>
  <si>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</si>
  <si>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</si>
  <si>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</si>
  <si>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</si>
  <si>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</si>
  <si>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</si>
  <si>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</si>
  <si>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</si>
  <si>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</si>
  <si>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</si>
  <si>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</si>
  <si>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</si>
  <si>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</si>
  <si>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</si>
  <si>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</si>
  <si>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</si>
  <si>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</si>
  <si>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</si>
  <si>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</si>
  <si>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</si>
  <si>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</si>
  <si>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</si>
  <si>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</si>
  <si>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</si>
  <si>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</si>
  <si>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</si>
  <si>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</si>
  <si>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</si>
  <si>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</si>
  <si>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</si>
  <si>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</si>
  <si>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</si>
  <si>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</si>
  <si>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</si>
  <si>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</si>
  <si>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</si>
  <si>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</si>
  <si>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</si>
  <si>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</si>
  <si>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</si>
  <si>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</si>
  <si>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</si>
  <si>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</si>
  <si>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</si>
  <si>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</si>
  <si>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</si>
  <si>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</si>
  <si>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</si>
  <si>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</si>
  <si>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</si>
  <si>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</si>
  <si>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</si>
  <si>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</si>
  <si>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</si>
  <si>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</si>
  <si>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</si>
  <si>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</si>
  <si>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</si>
  <si>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</si>
  <si>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</si>
  <si>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</si>
  <si>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</si>
  <si>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</si>
  <si>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</si>
  <si>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</si>
  <si>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</si>
  <si>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</si>
  <si>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</si>
  <si>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</si>
  <si>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</si>
  <si>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</si>
  <si>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</si>
  <si>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</si>
  <si>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</si>
  <si>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</si>
  <si>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</si>
  <si>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</si>
  <si>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</si>
  <si>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</si>
  <si>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</si>
  <si>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</si>
  <si>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</si>
  <si>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</si>
  <si>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</si>
  <si>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</si>
  <si>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</si>
  <si>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</si>
  <si>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</si>
  <si>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</si>
  <si>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</si>
  <si>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</si>
  <si>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</si>
  <si>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</si>
  <si>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</si>
  <si>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</si>
  <si>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</si>
  <si>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</si>
  <si>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</si>
  <si>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</si>
  <si>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</si>
  <si>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</si>
  <si>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</si>
  <si>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</si>
  <si>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</si>
  <si>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</si>
  <si>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</si>
  <si>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</si>
  <si>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</si>
  <si>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</si>
  <si>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</si>
  <si>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</si>
  <si>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</si>
  <si>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</si>
  <si>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</si>
  <si>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</si>
  <si>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</si>
  <si>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</si>
  <si>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</si>
  <si>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</si>
  <si>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</si>
  <si>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</si>
  <si>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</si>
  <si>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</si>
  <si>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</si>
  <si>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</si>
  <si>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</si>
  <si>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</si>
  <si>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</si>
  <si>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</si>
  <si>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</si>
  <si>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</si>
  <si>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</si>
  <si>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</si>
  <si>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</si>
  <si>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</si>
  <si>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</si>
  <si>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</si>
  <si>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</si>
  <si>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</si>
  <si>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</si>
  <si>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</si>
  <si>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</si>
  <si>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</si>
  <si>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</si>
  <si>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</si>
  <si>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</si>
  <si>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</si>
  <si>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</si>
  <si>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</si>
  <si>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</si>
  <si>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</si>
  <si>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</si>
  <si>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</si>
  <si>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</si>
  <si>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</si>
  <si>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</si>
  <si>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</si>
  <si>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</si>
  <si>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</si>
  <si>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</si>
  <si>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</si>
  <si>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</si>
  <si>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</si>
  <si>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</si>
  <si>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</si>
  <si>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</si>
  <si>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</si>
  <si>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</si>
  <si>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</si>
  <si>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</si>
  <si>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</si>
  <si>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</si>
  <si>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</si>
  <si>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</si>
  <si>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</si>
  <si>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</si>
  <si>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</si>
  <si>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</si>
  <si>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</si>
  <si>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</si>
  <si>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</si>
  <si>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</si>
  <si>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</si>
  <si>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</si>
  <si>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</si>
  <si>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</si>
  <si>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</si>
  <si>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</si>
  <si>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</si>
  <si>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</si>
  <si>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</si>
  <si>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</si>
  <si>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</si>
  <si>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</si>
  <si>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</si>
  <si>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</si>
  <si>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</si>
  <si>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</si>
  <si>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</si>
  <si>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</si>
  <si>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</si>
  <si>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</si>
  <si>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</si>
  <si>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</si>
  <si>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</si>
  <si>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</si>
  <si>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</si>
  <si>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</si>
  <si>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</si>
  <si>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</si>
  <si>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</si>
  <si>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</si>
  <si>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</si>
  <si>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</si>
  <si>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</si>
  <si>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</si>
  <si>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</si>
  <si>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</si>
  <si>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</si>
  <si>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</si>
  <si>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</si>
  <si>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</si>
  <si>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</si>
  <si>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</si>
  <si>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</si>
  <si>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</si>
  <si>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</si>
  <si>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</si>
  <si>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</si>
  <si>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</si>
  <si>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</si>
  <si>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</si>
  <si>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</si>
  <si>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</si>
  <si>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</si>
  <si>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</si>
  <si>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</si>
  <si>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</si>
  <si>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</si>
  <si>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</si>
  <si>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</si>
  <si>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</si>
  <si>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</si>
  <si>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</si>
  <si>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</si>
  <si>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</si>
  <si>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</si>
  <si>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</si>
  <si>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</si>
  <si>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</si>
  <si>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</si>
  <si>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</si>
  <si>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</si>
  <si>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</si>
  <si>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</si>
  <si>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</si>
  <si>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</si>
  <si>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</si>
  <si>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</si>
  <si>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</si>
  <si>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</si>
  <si>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</si>
  <si>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</si>
  <si>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</si>
  <si>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</si>
  <si>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</si>
  <si>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</si>
  <si>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</si>
  <si>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</si>
  <si>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</si>
  <si>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</si>
  <si>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</si>
  <si>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</si>
  <si>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</si>
  <si>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</si>
  <si>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</si>
  <si>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</si>
  <si>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</si>
  <si>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</si>
  <si>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</si>
  <si>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</si>
  <si>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</si>
  <si>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</si>
  <si>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</si>
  <si>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</si>
  <si>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</si>
  <si>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</si>
  <si>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</si>
  <si>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</si>
  <si>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</si>
  <si>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</si>
  <si>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</si>
  <si>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</si>
  <si>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</si>
  <si>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</si>
  <si>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</si>
  <si>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</si>
  <si>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</si>
  <si>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</si>
  <si>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</si>
  <si>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</si>
  <si>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</si>
  <si>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</si>
  <si>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</si>
  <si>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</si>
  <si>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</si>
  <si>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</si>
  <si>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</si>
  <si>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</si>
  <si>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</si>
  <si>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</si>
  <si>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</si>
  <si>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</si>
  <si>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</si>
  <si>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</si>
  <si>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</si>
  <si>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</si>
  <si>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</si>
  <si>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</si>
  <si>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</si>
  <si>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</si>
  <si>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</si>
  <si>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</si>
  <si>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</si>
  <si>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</si>
  <si>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</si>
  <si>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</si>
  <si>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</si>
  <si>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</si>
  <si>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</si>
  <si>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</si>
  <si>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</si>
  <si>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</si>
  <si>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</si>
  <si>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</si>
  <si>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</si>
  <si>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</si>
  <si>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</si>
  <si>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</si>
  <si>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</si>
  <si>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</si>
  <si>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</si>
  <si>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</si>
  <si>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</si>
  <si>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</si>
  <si>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</si>
  <si>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</si>
  <si>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</si>
  <si>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</si>
  <si>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</si>
  <si>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</si>
  <si>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</si>
  <si>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</si>
  <si>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</si>
  <si>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</si>
  <si>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</si>
  <si>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</si>
  <si>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</si>
  <si>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</si>
  <si>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</si>
  <si>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</si>
  <si>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</si>
  <si>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</si>
  <si>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</si>
  <si>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</si>
  <si>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</si>
  <si>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</si>
  <si>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</si>
  <si>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</si>
  <si>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</si>
  <si>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</si>
  <si>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</si>
  <si>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</si>
  <si>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</si>
  <si>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</si>
  <si>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</si>
  <si>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</si>
  <si>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</si>
  <si>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</si>
  <si>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</si>
  <si>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</si>
  <si>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</si>
  <si>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</si>
  <si>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</si>
  <si>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</si>
  <si>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</si>
  <si>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</si>
  <si>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</si>
  <si>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</si>
  <si>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</si>
  <si>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</si>
  <si>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</si>
  <si>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</si>
  <si>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</si>
  <si>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</si>
  <si>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</si>
  <si>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</si>
  <si>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</si>
  <si>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</si>
  <si>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</si>
  <si>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</si>
  <si>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</si>
  <si>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</si>
  <si>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</si>
  <si>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</si>
  <si>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</si>
  <si>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</si>
  <si>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</si>
  <si>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</si>
  <si>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</si>
  <si>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</si>
  <si>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</si>
  <si>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</si>
  <si>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</si>
  <si>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</si>
  <si>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</si>
  <si>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</si>
  <si>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</si>
  <si>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</si>
  <si>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</si>
  <si>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</si>
  <si>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</si>
  <si>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</si>
  <si>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</si>
  <si>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</si>
  <si>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</si>
  <si>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</si>
  <si>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</si>
  <si>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</si>
  <si>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</si>
  <si>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</si>
  <si>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</si>
  <si>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</si>
  <si>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</si>
  <si>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</si>
  <si>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</si>
  <si>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</si>
  <si>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</si>
  <si>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</si>
  <si>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</si>
  <si>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</si>
  <si>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</si>
  <si>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</si>
  <si>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</si>
  <si>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</si>
  <si>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</si>
  <si>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</si>
  <si>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</si>
  <si>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</si>
  <si>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</si>
  <si>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</si>
  <si>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</si>
  <si>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</si>
  <si>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</si>
  <si>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</si>
  <si>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</si>
  <si>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</si>
  <si>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</si>
  <si>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</si>
  <si>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</si>
  <si>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</si>
  <si>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</si>
  <si>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</si>
  <si>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</si>
  <si>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</si>
  <si>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</si>
  <si>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</si>
  <si>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</si>
  <si>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</si>
  <si>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</si>
  <si>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</si>
  <si>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</si>
  <si>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</si>
  <si>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</si>
  <si>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</si>
  <si>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</si>
  <si>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</si>
  <si>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</si>
  <si>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</si>
  <si>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</si>
  <si>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</si>
  <si>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</si>
  <si>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</si>
  <si>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</si>
  <si>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</si>
  <si>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</si>
  <si>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</si>
  <si>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</si>
  <si>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</si>
  <si>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</si>
  <si>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</si>
  <si>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</si>
  <si>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</si>
  <si>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</si>
  <si>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</si>
  <si>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</si>
  <si>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</si>
  <si>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</si>
  <si>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</si>
  <si>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</si>
  <si>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</si>
  <si>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</si>
  <si>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</si>
  <si>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</si>
  <si>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</si>
  <si>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</si>
  <si>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</si>
  <si>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</si>
  <si>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</si>
  <si>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</si>
  <si>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</si>
  <si>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</si>
  <si>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</si>
  <si>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</si>
  <si>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</si>
  <si>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</si>
  <si>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</si>
  <si>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</si>
  <si>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</si>
  <si>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</si>
  <si>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</si>
  <si>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</si>
  <si>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</si>
  <si>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</si>
  <si>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</si>
  <si>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</si>
  <si>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</si>
  <si>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</si>
  <si>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</si>
  <si>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</si>
  <si>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</si>
  <si>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</si>
  <si>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</si>
  <si>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</si>
  <si>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</si>
  <si>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</si>
  <si>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</si>
  <si>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</si>
  <si>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</si>
  <si>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</si>
  <si>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</si>
  <si>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</si>
  <si>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</si>
  <si>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</si>
  <si>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</si>
  <si>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</si>
  <si>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</si>
  <si>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</si>
  <si>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</si>
  <si>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</si>
  <si>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</si>
  <si>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</si>
  <si>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</si>
  <si>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</si>
  <si>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</si>
  <si>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</si>
  <si>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</si>
  <si>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</si>
  <si>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</si>
  <si>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</si>
  <si>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</si>
  <si>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</si>
  <si>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</si>
  <si>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</si>
  <si>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</si>
  <si>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</si>
  <si>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</si>
  <si>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</si>
  <si>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</si>
  <si>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</si>
  <si>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</si>
  <si>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</si>
  <si>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</si>
  <si>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</si>
  <si>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</si>
  <si>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</si>
  <si>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</si>
  <si>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</si>
  <si>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</si>
  <si>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</si>
  <si>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</si>
  <si>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</si>
  <si>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</si>
  <si>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</si>
  <si>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</si>
  <si>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</si>
  <si>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</si>
  <si>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</si>
  <si>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</si>
  <si>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</si>
  <si>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</si>
  <si>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</si>
  <si>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</si>
  <si>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</si>
  <si>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</si>
  <si>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</si>
  <si>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</si>
  <si>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</si>
  <si>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</si>
  <si>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</si>
  <si>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</si>
  <si>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</si>
  <si>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</si>
  <si>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</si>
  <si>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</si>
  <si>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</si>
  <si>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</si>
  <si>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</si>
  <si>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</si>
  <si>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</si>
  <si>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</si>
  <si>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</si>
  <si>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</si>
  <si>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</si>
  <si>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</si>
  <si>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</si>
  <si>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</si>
  <si>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</si>
  <si>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</si>
  <si>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</si>
  <si>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</si>
  <si>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</si>
  <si>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</si>
  <si>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</si>
  <si>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</si>
  <si>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</si>
  <si>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</si>
  <si>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</si>
  <si>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</si>
  <si>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</si>
  <si>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</si>
  <si>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</si>
  <si>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</si>
  <si>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</si>
  <si>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</si>
  <si>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</si>
  <si>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</si>
  <si>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</si>
  <si>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</si>
  <si>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</si>
  <si>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</si>
  <si>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</si>
  <si>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</si>
  <si>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</si>
  <si>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</si>
  <si>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</si>
  <si>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</si>
  <si>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</si>
  <si>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</si>
  <si>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</si>
  <si>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</si>
  <si>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</si>
  <si>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</si>
  <si>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</si>
  <si>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</si>
  <si>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</si>
  <si>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</si>
  <si>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</si>
  <si>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</si>
  <si>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</si>
  <si>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</si>
  <si>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</si>
  <si>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</si>
  <si>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</si>
  <si>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</si>
  <si>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</si>
  <si>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</si>
  <si>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</si>
  <si>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</si>
  <si>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</si>
  <si>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</si>
  <si>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</si>
  <si>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</si>
  <si>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</si>
  <si>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</si>
  <si>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</si>
  <si>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</si>
  <si>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</si>
  <si>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</si>
  <si>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</si>
  <si>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</si>
  <si>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</si>
  <si>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</si>
  <si>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</si>
  <si>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</si>
  <si>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</si>
  <si>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</si>
  <si>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</si>
  <si>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</si>
  <si>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</si>
  <si>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</si>
  <si>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</si>
  <si>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</si>
  <si>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</si>
  <si>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</si>
  <si>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</si>
  <si>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</si>
  <si>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</si>
  <si>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</si>
  <si>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</si>
  <si>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</si>
  <si>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</si>
  <si>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</si>
  <si>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</si>
  <si>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</si>
  <si>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</si>
  <si>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</si>
  <si>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</si>
  <si>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</si>
  <si>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</si>
  <si>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</si>
  <si>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</si>
  <si>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</si>
  <si>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</si>
  <si>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</si>
  <si>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</si>
  <si>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</si>
  <si>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</si>
  <si>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</si>
  <si>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</si>
  <si>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</si>
  <si>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</si>
  <si>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</si>
  <si>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</si>
  <si>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</si>
  <si>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</si>
  <si>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</si>
  <si>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</si>
  <si>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</si>
  <si>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</si>
  <si>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</si>
  <si>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</si>
  <si>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</si>
  <si>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</si>
  <si>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</si>
  <si>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</si>
  <si>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</si>
  <si>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</si>
  <si>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</si>
  <si>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</si>
  <si>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</si>
  <si>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</si>
  <si>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</si>
  <si>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</si>
  <si>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</si>
  <si>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</si>
  <si>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</si>
  <si>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</si>
  <si>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</si>
  <si>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</si>
  <si>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</si>
  <si>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</si>
  <si>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</si>
  <si>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</si>
  <si>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</si>
  <si>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</si>
  <si>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</si>
  <si>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</si>
  <si>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</si>
  <si>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</si>
  <si>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</si>
  <si>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</si>
  <si>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</si>
  <si>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</si>
  <si>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</si>
  <si>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</si>
  <si>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</si>
  <si>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</si>
  <si>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</si>
  <si>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</si>
  <si>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</si>
  <si>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</si>
  <si>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</si>
  <si>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</si>
  <si>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</si>
  <si>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</si>
  <si>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</si>
  <si>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</si>
  <si>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</si>
  <si>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</si>
  <si>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</si>
  <si>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</si>
  <si>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</si>
  <si>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</si>
  <si>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</si>
  <si>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</si>
  <si>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</si>
  <si>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</si>
  <si>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</si>
  <si>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</si>
  <si>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</si>
  <si>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</si>
  <si>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</si>
  <si>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</si>
  <si>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</si>
  <si>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</si>
  <si>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</si>
  <si>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</si>
  <si>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</si>
  <si>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</si>
  <si>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</si>
  <si>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</si>
  <si>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</si>
  <si>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</si>
  <si>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</si>
  <si>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</si>
  <si>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</si>
  <si>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</si>
  <si>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</si>
  <si>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</si>
  <si>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</si>
  <si>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</si>
  <si>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</si>
  <si>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</si>
  <si>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</si>
  <si>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</si>
  <si>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</si>
  <si>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</si>
  <si>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</si>
  <si>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</si>
  <si>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</si>
  <si>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</si>
  <si>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</si>
  <si>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</si>
  <si>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</si>
  <si>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</si>
  <si>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</si>
  <si>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</si>
  <si>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</si>
  <si>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</si>
  <si>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</si>
  <si>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</si>
  <si>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</si>
  <si>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</si>
  <si>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</si>
  <si>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</si>
  <si>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</si>
  <si>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</si>
  <si>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</si>
  <si>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</si>
  <si>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</si>
  <si>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</si>
  <si>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</si>
  <si>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</si>
  <si>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</si>
  <si>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</si>
  <si>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</si>
  <si>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</si>
  <si>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</si>
  <si>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</si>
  <si>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</si>
  <si>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</si>
  <si>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</si>
  <si>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</si>
  <si>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</si>
  <si>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</si>
  <si>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</si>
  <si>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</si>
  <si>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</si>
  <si>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</si>
  <si>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</si>
  <si>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</si>
  <si>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</si>
  <si>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</si>
  <si>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</si>
  <si>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</si>
  <si>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</si>
  <si>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</si>
  <si>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</si>
  <si>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</si>
  <si>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</si>
  <si>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</si>
  <si>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</si>
  <si>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</si>
  <si>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</si>
  <si>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</si>
  <si>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</si>
  <si>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</si>
  <si>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</si>
  <si>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</si>
  <si>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</si>
  <si>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</si>
  <si>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</si>
  <si>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</si>
  <si>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</si>
  <si>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</si>
  <si>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</si>
  <si>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</si>
  <si>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</si>
  <si>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</si>
  <si>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</si>
  <si>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</si>
  <si>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</si>
  <si>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</si>
  <si>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</si>
  <si>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</si>
  <si>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</si>
  <si>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</si>
  <si>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</si>
  <si>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</si>
  <si>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</si>
  <si>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</si>
  <si>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</si>
  <si>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</si>
  <si>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</si>
  <si>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</si>
  <si>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</si>
  <si>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</si>
  <si>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</si>
  <si>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</si>
  <si>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</si>
  <si>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</si>
  <si>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</si>
  <si>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</si>
  <si>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</si>
  <si>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</si>
  <si>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</si>
  <si>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</si>
  <si>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</si>
  <si>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</si>
  <si>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</si>
  <si>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</si>
  <si>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</si>
  <si>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</si>
  <si>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</si>
  <si>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</si>
  <si>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</si>
  <si>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</si>
  <si>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</si>
  <si>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</si>
  <si>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</si>
  <si>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</si>
  <si>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</si>
  <si>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</si>
  <si>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</si>
  <si>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</si>
  <si>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</si>
  <si>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</si>
  <si>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</si>
  <si>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</si>
  <si>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</si>
  <si>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</si>
  <si>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</si>
  <si>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</si>
  <si>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</si>
  <si>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</si>
  <si>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</si>
  <si>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</si>
  <si>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</si>
  <si>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</si>
  <si>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</si>
  <si>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</si>
  <si>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</si>
  <si>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</si>
  <si>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</si>
  <si>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</si>
  <si>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</si>
  <si>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</si>
  <si>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</si>
  <si>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</si>
  <si>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</si>
  <si>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</si>
  <si>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</si>
  <si>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</si>
  <si>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</si>
  <si>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</si>
  <si>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</si>
  <si>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</si>
  <si>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</si>
  <si>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</si>
  <si>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</si>
  <si>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</si>
  <si>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</si>
  <si>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</si>
  <si>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</si>
  <si>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</si>
  <si>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</si>
  <si>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</si>
  <si>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</si>
  <si>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</si>
  <si>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</si>
  <si>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</si>
  <si>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</si>
  <si>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</si>
  <si>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</si>
  <si>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</si>
  <si>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</si>
  <si>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</si>
  <si>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</si>
  <si>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</si>
  <si>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</si>
  <si>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</si>
  <si>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</si>
  <si>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</si>
  <si>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</si>
  <si>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</si>
  <si>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</si>
  <si>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</si>
  <si>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</si>
  <si>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</si>
  <si>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</si>
  <si>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</si>
  <si>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</si>
  <si>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</si>
  <si>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</si>
  <si>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</si>
  <si>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</si>
  <si>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</si>
  <si>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</si>
  <si>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</si>
  <si>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</si>
  <si>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</si>
  <si>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</si>
  <si>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</si>
  <si>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</si>
  <si>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</si>
  <si>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</si>
  <si>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</si>
  <si>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</si>
  <si>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</si>
  <si>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</si>
  <si>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</si>
  <si>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</si>
  <si>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</si>
  <si>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</si>
  <si>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</si>
  <si>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</si>
  <si>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</si>
  <si>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</si>
  <si>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</si>
  <si>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</si>
  <si>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</si>
  <si>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</si>
  <si>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</si>
  <si>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</si>
  <si>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</si>
  <si>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</si>
  <si>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</si>
  <si>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</si>
  <si>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</si>
  <si>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</si>
  <si>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</si>
  <si>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</si>
  <si>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</si>
  <si>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</si>
  <si>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</si>
  <si>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</si>
  <si>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</si>
  <si>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</si>
  <si>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</si>
  <si>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</si>
  <si>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</si>
  <si>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</si>
  <si>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</si>
  <si>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</si>
  <si>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</si>
  <si>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</si>
  <si>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</si>
  <si>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</si>
  <si>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</si>
  <si>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</si>
  <si>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</si>
  <si>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</si>
  <si>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</si>
  <si>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</si>
  <si>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</si>
  <si>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</si>
  <si>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</si>
  <si>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</si>
  <si>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</si>
  <si>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</si>
  <si>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</si>
  <si>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</si>
  <si>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</si>
  <si>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</si>
  <si>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</si>
  <si>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</si>
  <si>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</si>
  <si>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</si>
  <si>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</si>
  <si>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</si>
  <si>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</si>
  <si>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</si>
  <si>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</si>
  <si>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</si>
  <si>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</si>
  <si>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</si>
  <si>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</si>
  <si>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</si>
  <si>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</si>
  <si>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</si>
  <si>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</si>
  <si>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</si>
  <si>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</si>
  <si>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</si>
  <si>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</si>
  <si>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</si>
  <si>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</si>
  <si>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</si>
  <si>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</si>
  <si>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</si>
  <si>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</si>
  <si>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</si>
  <si>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</si>
  <si>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</si>
  <si>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</si>
  <si>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</si>
  <si>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</si>
  <si>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</si>
  <si>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</si>
  <si>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</si>
  <si>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</si>
  <si>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</si>
  <si>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</si>
  <si>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</si>
  <si>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</si>
  <si>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</si>
  <si>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</si>
  <si>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</si>
  <si>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</si>
  <si>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</si>
  <si>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</si>
  <si>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</si>
  <si>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</si>
  <si>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</si>
  <si>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</si>
  <si>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</si>
  <si>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</si>
  <si>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</si>
  <si>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</si>
  <si>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</si>
  <si>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</si>
  <si>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</si>
  <si>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</si>
  <si>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</si>
  <si>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</si>
  <si>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</si>
  <si>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</si>
  <si>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</si>
  <si>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</si>
  <si>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</si>
  <si>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</si>
  <si>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</si>
  <si>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</si>
  <si>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</si>
  <si>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</si>
  <si>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</si>
  <si>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</si>
  <si>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</si>
  <si>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</si>
  <si>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</si>
  <si>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</si>
  <si>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</si>
  <si>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</si>
  <si>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</si>
  <si>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</si>
  <si>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</si>
  <si>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</si>
  <si>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</si>
  <si>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</si>
  <si>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</si>
  <si>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</si>
  <si>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</si>
  <si>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</si>
  <si>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</si>
  <si>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</si>
  <si>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</si>
  <si>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</si>
  <si>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</si>
  <si>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</si>
  <si>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</si>
  <si>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</si>
  <si>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</si>
  <si>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</si>
  <si>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</si>
  <si>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</si>
  <si>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</si>
  <si>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</si>
  <si>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</si>
  <si>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</si>
  <si>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</si>
  <si>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</si>
  <si>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</si>
  <si>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</si>
  <si>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</si>
  <si>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</si>
  <si>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</si>
  <si>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</si>
  <si>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</si>
  <si>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</si>
  <si>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</si>
  <si>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</si>
  <si>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</si>
  <si>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</si>
  <si>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</si>
  <si>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</si>
  <si>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</si>
  <si>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</si>
  <si>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</si>
  <si>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</si>
  <si>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</si>
  <si>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</si>
  <si>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</si>
  <si>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</si>
  <si>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</si>
  <si>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</si>
  <si>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</si>
  <si>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</si>
  <si>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</si>
  <si>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</si>
  <si>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</si>
  <si>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</si>
  <si>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</si>
  <si>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</si>
  <si>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</si>
  <si>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</si>
  <si>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</si>
  <si>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</si>
  <si>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</si>
  <si>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</si>
  <si>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</si>
  <si>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</si>
  <si>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</si>
  <si>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</si>
  <si>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</si>
  <si>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</si>
  <si>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</si>
  <si>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</si>
  <si>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</si>
  <si>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</si>
  <si>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</si>
  <si>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</si>
  <si>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</si>
  <si>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</si>
  <si>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</si>
  <si>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</si>
  <si>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</si>
  <si>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</si>
  <si>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</si>
  <si>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</si>
  <si>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</si>
  <si>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</si>
  <si>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</si>
  <si>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</si>
  <si>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</si>
  <si>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</si>
  <si>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</si>
  <si>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</si>
  <si>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</si>
  <si>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</si>
  <si>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</si>
  <si>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</si>
  <si>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</si>
  <si>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</si>
  <si>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</si>
  <si>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</si>
  <si>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</si>
  <si>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</si>
  <si>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</si>
  <si>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</si>
  <si>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</si>
  <si>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</si>
  <si>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</si>
  <si>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</si>
  <si>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</si>
  <si>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</si>
  <si>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</si>
  <si>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</si>
  <si>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</si>
  <si>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</si>
  <si>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</si>
  <si>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</si>
  <si>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</si>
  <si>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</si>
  <si>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</si>
  <si>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</si>
  <si>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</si>
  <si>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</si>
  <si>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</si>
  <si>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</si>
  <si>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</si>
  <si>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</si>
  <si>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</si>
  <si>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</si>
  <si>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</si>
  <si>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</si>
  <si>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</si>
  <si>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</si>
  <si>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به حساب بورس مهدی معادل 1864 تا وغدیر 213.7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</si>
  <si>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</si>
  <si>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</si>
  <si>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</si>
  <si>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</si>
  <si>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</si>
  <si>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</si>
  <si>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</si>
  <si>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</si>
  <si>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</si>
  <si>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</si>
  <si>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</si>
  <si>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</si>
  <si>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</si>
  <si>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</si>
  <si>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</si>
  <si>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</si>
  <si>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</si>
  <si>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</si>
  <si>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</si>
  <si>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</si>
  <si>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</si>
  <si>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</si>
  <si>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</si>
  <si>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</si>
  <si>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</si>
  <si>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</si>
  <si>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</si>
  <si>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</si>
  <si>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</si>
  <si>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</si>
  <si>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</si>
  <si>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</si>
  <si>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</si>
  <si>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</si>
  <si>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</si>
  <si>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</si>
  <si>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</si>
  <si>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</si>
  <si>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</si>
  <si>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</si>
  <si>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</si>
  <si>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</si>
  <si>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</si>
  <si>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</si>
  <si>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</si>
  <si>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</si>
  <si>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</si>
  <si>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</si>
  <si>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</si>
  <si>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</si>
  <si>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17/71397</t>
  </si>
  <si>
    <t>معادل 5019 تا سهم وغدیر به قیمت 200.4 فروش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</si>
  <si>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</si>
  <si>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</si>
  <si>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</si>
  <si>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</si>
  <si>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</si>
  <si>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بدهی به مهدی نقدی 17/7/1397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</si>
  <si>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</si>
  <si>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</si>
  <si>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</si>
  <si>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</si>
  <si>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</si>
  <si>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</si>
  <si>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</si>
  <si>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</si>
  <si>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</si>
  <si>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</si>
  <si>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</si>
  <si>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</si>
  <si>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</si>
  <si>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</si>
  <si>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</si>
  <si>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</si>
  <si>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</si>
  <si>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</si>
  <si>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</si>
  <si>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</si>
  <si>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</si>
  <si>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داوه</t>
  </si>
  <si>
    <t>بن کارت مریم به ملت علی و 25 نقد 23/7</t>
  </si>
  <si>
    <t>بدهی مریم به داریوش واریزی به بورس علی که علی پرداخت کرد</t>
  </si>
  <si>
    <t>داوه 174 تا 330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</si>
  <si>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</si>
  <si>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</si>
  <si>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</si>
  <si>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طلب از امیر قدس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</si>
  <si>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</si>
  <si>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</si>
  <si>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</si>
  <si>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</si>
  <si>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</si>
  <si>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</si>
  <si>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</si>
  <si>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</si>
  <si>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</si>
  <si>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خرید وغدیر  شاراک شپدیس شلرد ونیروح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</si>
  <si>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</si>
  <si>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</si>
  <si>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</si>
  <si>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</si>
  <si>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</si>
  <si>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</si>
  <si>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</si>
  <si>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</si>
  <si>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</si>
  <si>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</si>
  <si>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</si>
  <si>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</si>
  <si>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</si>
  <si>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معادل 50000 تا سهم وغدیر به قیمت 207.9 فروش</t>
  </si>
  <si>
    <t>تعداد 132532 عدد سهام وغدیر</t>
  </si>
  <si>
    <t>اخزا 706 تعداد 26 قیمت 66501</t>
  </si>
  <si>
    <t>بدهی نقدی به مهدی 11250229 تومان تاریخ 28/7/97</t>
  </si>
  <si>
    <t>اخزا 706</t>
  </si>
  <si>
    <t>وغدیر 1213678 تا 192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</si>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</sst>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3" t="s">
        <v>4283</v>
      </c>
      <c r="B1" t="s">
        <v>4284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37" workbookViewId="0">
      <selection activeCell="G59" sqref="G59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4181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4187</v>
      </c>
      <c r="B3" s="18">
        <v>830000</v>
      </c>
      <c r="C3" s="18">
        <v>0</v>
      </c>
      <c r="D3" s="117">
        <f t="shared" ref="D3:D26" si="0">B3-C3</f>
        <v>830000</v>
      </c>
      <c r="E3" s="20" t="s">
        <v>4189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4210</v>
      </c>
      <c r="B4" s="18">
        <v>-52440</v>
      </c>
      <c r="C4" s="18">
        <v>0</v>
      </c>
      <c r="D4" s="113">
        <f t="shared" si="0"/>
        <v>-52440</v>
      </c>
      <c r="E4" s="99" t="s">
        <v>4216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4217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4219</v>
      </c>
      <c r="B6" s="18">
        <v>-200000</v>
      </c>
      <c r="C6" s="18">
        <v>0</v>
      </c>
      <c r="D6" s="113">
        <f t="shared" si="0"/>
        <v>-200000</v>
      </c>
      <c r="E6" s="19" t="s">
        <v>4220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4221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4222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4222</v>
      </c>
      <c r="B9" s="18">
        <v>-30000</v>
      </c>
      <c r="C9" s="18">
        <v>0</v>
      </c>
      <c r="D9" s="113">
        <f t="shared" si="0"/>
        <v>-30000</v>
      </c>
      <c r="E9" s="21" t="s">
        <v>4223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4226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4227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4180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4231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4236</v>
      </c>
      <c r="B14" s="18">
        <v>1548000</v>
      </c>
      <c r="C14" s="18">
        <v>0</v>
      </c>
      <c r="D14" s="113">
        <f t="shared" si="0"/>
        <v>1548000</v>
      </c>
      <c r="E14" s="20" t="s">
        <v>4279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4267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4280</v>
      </c>
      <c r="B16" s="18">
        <v>-5000</v>
      </c>
      <c r="C16" s="18">
        <v>-2500</v>
      </c>
      <c r="D16" s="113">
        <f t="shared" si="0"/>
        <v>-2500</v>
      </c>
      <c r="E16" s="20" t="s">
        <v>4281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4295</v>
      </c>
      <c r="B17" s="18">
        <v>-190000</v>
      </c>
      <c r="C17" s="18">
        <v>0</v>
      </c>
      <c r="D17" s="113">
        <f t="shared" si="0"/>
        <v>-190000</v>
      </c>
      <c r="E17" s="20" t="s">
        <v>4296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4163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4163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4171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4184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7227</v>
      </c>
      <c r="C27" s="113">
        <f>SUM(C2:C26)</f>
        <v>7903817</v>
      </c>
      <c r="D27" s="113">
        <f>SUM(D2:D26)</f>
        <v>-7896590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v>600</v>
      </c>
      <c r="H33" s="18">
        <f>G33*H28/G28</f>
        <v>20396.858111885507</v>
      </c>
      <c r="I33" s="18">
        <f>G33*I28/G28</f>
        <v>-19796.858111885507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4190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4202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4204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4224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4226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4228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4230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4230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4232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4234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4237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4265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4277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4278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4289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4294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4299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4300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4303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4304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4307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4308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4310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4314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4316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4317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4327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 t="s">
        <v>25</v>
      </c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/>
      <c r="E70" s="41" t="s">
        <v>25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f>SUM(D33:D70)</f>
        <v>-48940586</v>
      </c>
      <c r="E71" s="96" t="s">
        <v>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41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E74" t="s">
        <v>25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E75" t="s">
        <v>25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21" activePane="bottomLeft" state="frozen"/>
      <selection pane="bottomLeft" activeCell="F224" sqref="F2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919</v>
      </c>
      <c r="H2" s="36">
        <f>IF(B2&gt;0,1,0)</f>
        <v>1</v>
      </c>
      <c r="I2" s="11">
        <f>B2*(G2-H2)</f>
        <v>15330600</v>
      </c>
      <c r="J2" s="53">
        <f>C2*(G2-H2)</f>
        <v>15330600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918</v>
      </c>
      <c r="H3" s="36">
        <f t="shared" ref="H3:H66" si="2">IF(B3&gt;0,1,0)</f>
        <v>1</v>
      </c>
      <c r="I3" s="11">
        <f t="shared" ref="I3:I66" si="3">B3*(G3-H3)</f>
        <v>18248300000</v>
      </c>
      <c r="J3" s="53">
        <f t="shared" ref="J3:J66" si="4">C3*(G3-H3)</f>
        <v>10441879000</v>
      </c>
      <c r="K3" s="53">
        <f t="shared" ref="K3:K66" si="5">D3*(G3-H3)</f>
        <v>7806421000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918</v>
      </c>
      <c r="H4" s="36">
        <f t="shared" si="2"/>
        <v>0</v>
      </c>
      <c r="I4" s="11">
        <f t="shared" si="3"/>
        <v>0</v>
      </c>
      <c r="J4" s="53">
        <f t="shared" si="4"/>
        <v>7803000</v>
      </c>
      <c r="K4" s="53">
        <f t="shared" si="5"/>
        <v>-7803000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916</v>
      </c>
      <c r="H5" s="36">
        <f t="shared" si="2"/>
        <v>1</v>
      </c>
      <c r="I5" s="11">
        <f t="shared" si="3"/>
        <v>1830000000</v>
      </c>
      <c r="J5" s="53">
        <f t="shared" si="4"/>
        <v>0</v>
      </c>
      <c r="K5" s="53">
        <f t="shared" si="5"/>
        <v>1830000000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909</v>
      </c>
      <c r="H6" s="36">
        <f t="shared" si="2"/>
        <v>0</v>
      </c>
      <c r="I6" s="11">
        <f t="shared" si="3"/>
        <v>-4545000</v>
      </c>
      <c r="J6" s="53">
        <f t="shared" si="4"/>
        <v>0</v>
      </c>
      <c r="K6" s="53">
        <f t="shared" si="5"/>
        <v>-4545000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905</v>
      </c>
      <c r="H7" s="36">
        <f t="shared" si="2"/>
        <v>0</v>
      </c>
      <c r="I7" s="11">
        <f t="shared" si="3"/>
        <v>-1086452500</v>
      </c>
      <c r="J7" s="53">
        <f t="shared" si="4"/>
        <v>0</v>
      </c>
      <c r="K7" s="53">
        <f t="shared" si="5"/>
        <v>-1086452500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904</v>
      </c>
      <c r="H8" s="36">
        <f t="shared" si="2"/>
        <v>0</v>
      </c>
      <c r="I8" s="11">
        <f t="shared" si="3"/>
        <v>-180800000</v>
      </c>
      <c r="J8" s="53">
        <f t="shared" si="4"/>
        <v>0</v>
      </c>
      <c r="K8" s="53">
        <f t="shared" si="5"/>
        <v>-180800000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902</v>
      </c>
      <c r="H9" s="36">
        <f t="shared" si="2"/>
        <v>0</v>
      </c>
      <c r="I9" s="11">
        <f t="shared" si="3"/>
        <v>-636361000</v>
      </c>
      <c r="J9" s="53">
        <f t="shared" si="4"/>
        <v>0</v>
      </c>
      <c r="K9" s="53">
        <f t="shared" si="5"/>
        <v>-636361000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893</v>
      </c>
      <c r="H10" s="36">
        <f t="shared" si="2"/>
        <v>0</v>
      </c>
      <c r="I10" s="11">
        <f t="shared" si="3"/>
        <v>-178600000</v>
      </c>
      <c r="J10" s="53">
        <f t="shared" si="4"/>
        <v>0</v>
      </c>
      <c r="K10" s="53">
        <f t="shared" si="5"/>
        <v>-178600000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893</v>
      </c>
      <c r="H11" s="36">
        <f t="shared" si="2"/>
        <v>1</v>
      </c>
      <c r="I11" s="11">
        <f t="shared" si="3"/>
        <v>892000000</v>
      </c>
      <c r="J11" s="53">
        <f t="shared" si="4"/>
        <v>0</v>
      </c>
      <c r="K11" s="53">
        <f t="shared" si="5"/>
        <v>892000000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889</v>
      </c>
      <c r="H12" s="36">
        <f t="shared" si="2"/>
        <v>0</v>
      </c>
      <c r="I12" s="11">
        <f t="shared" si="3"/>
        <v>-266700000</v>
      </c>
      <c r="J12" s="53">
        <f t="shared" si="4"/>
        <v>0</v>
      </c>
      <c r="K12" s="53">
        <f t="shared" si="5"/>
        <v>-266700000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884</v>
      </c>
      <c r="H13" s="36">
        <f t="shared" si="2"/>
        <v>0</v>
      </c>
      <c r="I13" s="11">
        <f t="shared" si="3"/>
        <v>-54808000</v>
      </c>
      <c r="J13" s="53">
        <f t="shared" si="4"/>
        <v>0</v>
      </c>
      <c r="K13" s="53">
        <f t="shared" si="5"/>
        <v>-54808000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884</v>
      </c>
      <c r="H14" s="36">
        <f t="shared" si="2"/>
        <v>1</v>
      </c>
      <c r="I14" s="11">
        <f t="shared" si="3"/>
        <v>1766000000</v>
      </c>
      <c r="J14" s="53">
        <f t="shared" si="4"/>
        <v>0</v>
      </c>
      <c r="K14" s="53">
        <f t="shared" si="5"/>
        <v>1766000000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883</v>
      </c>
      <c r="H15" s="36">
        <f t="shared" si="2"/>
        <v>1</v>
      </c>
      <c r="I15" s="11">
        <f t="shared" si="3"/>
        <v>1587600000</v>
      </c>
      <c r="J15" s="53">
        <f t="shared" si="4"/>
        <v>0</v>
      </c>
      <c r="K15" s="53">
        <f t="shared" si="5"/>
        <v>1587600000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883</v>
      </c>
      <c r="H16" s="36">
        <f t="shared" si="2"/>
        <v>0</v>
      </c>
      <c r="I16" s="11">
        <f t="shared" si="3"/>
        <v>-176600000</v>
      </c>
      <c r="J16" s="53">
        <f t="shared" si="4"/>
        <v>0</v>
      </c>
      <c r="K16" s="53">
        <f t="shared" si="5"/>
        <v>-176600000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879</v>
      </c>
      <c r="H17" s="36">
        <f t="shared" si="2"/>
        <v>0</v>
      </c>
      <c r="I17" s="11">
        <f t="shared" si="3"/>
        <v>-1758000000</v>
      </c>
      <c r="J17" s="53">
        <f t="shared" si="4"/>
        <v>0</v>
      </c>
      <c r="K17" s="53">
        <f t="shared" si="5"/>
        <v>-1758000000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878</v>
      </c>
      <c r="H18" s="36">
        <f t="shared" si="2"/>
        <v>0</v>
      </c>
      <c r="I18" s="11">
        <f t="shared" si="3"/>
        <v>-263400000</v>
      </c>
      <c r="J18" s="53">
        <f t="shared" si="4"/>
        <v>0</v>
      </c>
      <c r="K18" s="53">
        <f t="shared" si="5"/>
        <v>-263400000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877</v>
      </c>
      <c r="H19" s="36">
        <f t="shared" si="2"/>
        <v>0</v>
      </c>
      <c r="I19" s="11">
        <f t="shared" si="3"/>
        <v>-175400000</v>
      </c>
      <c r="J19" s="53">
        <f t="shared" si="4"/>
        <v>0</v>
      </c>
      <c r="K19" s="53">
        <f t="shared" si="5"/>
        <v>-175400000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875</v>
      </c>
      <c r="H20" s="36">
        <f t="shared" si="2"/>
        <v>1</v>
      </c>
      <c r="I20" s="11">
        <f t="shared" si="3"/>
        <v>236931786</v>
      </c>
      <c r="J20" s="53">
        <f t="shared" si="4"/>
        <v>128873048</v>
      </c>
      <c r="K20" s="53">
        <f t="shared" si="5"/>
        <v>108058738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873</v>
      </c>
      <c r="H21" s="36">
        <f t="shared" si="2"/>
        <v>0</v>
      </c>
      <c r="I21" s="11">
        <f t="shared" si="3"/>
        <v>-1314476100</v>
      </c>
      <c r="J21" s="53">
        <f t="shared" si="4"/>
        <v>0</v>
      </c>
      <c r="K21" s="53">
        <f t="shared" si="5"/>
        <v>-1314476100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870</v>
      </c>
      <c r="H22" s="36">
        <f t="shared" si="2"/>
        <v>1</v>
      </c>
      <c r="I22" s="11">
        <f t="shared" si="3"/>
        <v>2607000000</v>
      </c>
      <c r="J22" s="53">
        <f t="shared" si="4"/>
        <v>0</v>
      </c>
      <c r="K22" s="53">
        <f t="shared" si="5"/>
        <v>2607000000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869</v>
      </c>
      <c r="H23" s="36">
        <f t="shared" si="2"/>
        <v>1</v>
      </c>
      <c r="I23" s="11">
        <f t="shared" si="3"/>
        <v>868000000</v>
      </c>
      <c r="J23" s="53">
        <f t="shared" si="4"/>
        <v>0</v>
      </c>
      <c r="K23" s="53">
        <f t="shared" si="5"/>
        <v>868000000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868</v>
      </c>
      <c r="H24" s="36">
        <f t="shared" si="2"/>
        <v>0</v>
      </c>
      <c r="I24" s="11">
        <f t="shared" si="3"/>
        <v>-2604781200</v>
      </c>
      <c r="J24" s="53">
        <f t="shared" si="4"/>
        <v>0</v>
      </c>
      <c r="K24" s="53">
        <f t="shared" si="5"/>
        <v>-2604781200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853</v>
      </c>
      <c r="H25" s="36">
        <f t="shared" si="2"/>
        <v>1</v>
      </c>
      <c r="I25" s="11">
        <f t="shared" si="3"/>
        <v>1278000000</v>
      </c>
      <c r="J25" s="53">
        <f t="shared" si="4"/>
        <v>0</v>
      </c>
      <c r="K25" s="53">
        <f t="shared" si="5"/>
        <v>1278000000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845</v>
      </c>
      <c r="H26" s="36">
        <f t="shared" si="2"/>
        <v>0</v>
      </c>
      <c r="I26" s="11">
        <f t="shared" si="3"/>
        <v>-138580000</v>
      </c>
      <c r="J26" s="53">
        <f t="shared" si="4"/>
        <v>0</v>
      </c>
      <c r="K26" s="53">
        <f t="shared" si="5"/>
        <v>-138580000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844</v>
      </c>
      <c r="H27" s="36">
        <f t="shared" si="2"/>
        <v>1</v>
      </c>
      <c r="I27" s="11">
        <f t="shared" si="3"/>
        <v>168088299</v>
      </c>
      <c r="J27" s="53">
        <f t="shared" si="4"/>
        <v>90549159</v>
      </c>
      <c r="K27" s="53">
        <f t="shared" si="5"/>
        <v>77539140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842</v>
      </c>
      <c r="H28" s="36">
        <f t="shared" si="2"/>
        <v>0</v>
      </c>
      <c r="I28" s="11">
        <f t="shared" si="3"/>
        <v>-186082000</v>
      </c>
      <c r="J28" s="53">
        <f t="shared" si="4"/>
        <v>-186082000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842</v>
      </c>
      <c r="H29" s="36">
        <f t="shared" si="2"/>
        <v>0</v>
      </c>
      <c r="I29" s="11">
        <f t="shared" si="3"/>
        <v>-421421000</v>
      </c>
      <c r="J29" s="53">
        <f t="shared" si="4"/>
        <v>0</v>
      </c>
      <c r="K29" s="53">
        <f t="shared" si="5"/>
        <v>-421421000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842</v>
      </c>
      <c r="H30" s="36">
        <f t="shared" si="2"/>
        <v>0</v>
      </c>
      <c r="I30" s="11">
        <f t="shared" si="3"/>
        <v>-12630000000</v>
      </c>
      <c r="J30" s="53">
        <f t="shared" si="4"/>
        <v>-12630000000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825</v>
      </c>
      <c r="H31" s="36">
        <f t="shared" si="2"/>
        <v>0</v>
      </c>
      <c r="I31" s="11">
        <f t="shared" si="3"/>
        <v>-2483992500</v>
      </c>
      <c r="J31" s="53">
        <f t="shared" si="4"/>
        <v>0</v>
      </c>
      <c r="K31" s="53">
        <f t="shared" si="5"/>
        <v>-2483992500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823</v>
      </c>
      <c r="H32" s="36">
        <f t="shared" si="2"/>
        <v>0</v>
      </c>
      <c r="I32" s="11">
        <f t="shared" si="3"/>
        <v>-2473855700</v>
      </c>
      <c r="J32" s="53">
        <f t="shared" si="4"/>
        <v>0</v>
      </c>
      <c r="K32" s="53">
        <f t="shared" si="5"/>
        <v>-2473855700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822</v>
      </c>
      <c r="H33" s="36">
        <f t="shared" si="2"/>
        <v>0</v>
      </c>
      <c r="I33" s="11">
        <f t="shared" si="3"/>
        <v>-736101000</v>
      </c>
      <c r="J33" s="53">
        <f t="shared" si="4"/>
        <v>0</v>
      </c>
      <c r="K33" s="53">
        <f t="shared" si="5"/>
        <v>-736101000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822</v>
      </c>
      <c r="H34" s="36">
        <f t="shared" si="2"/>
        <v>0</v>
      </c>
      <c r="I34" s="11">
        <f t="shared" si="3"/>
        <v>0</v>
      </c>
      <c r="J34" s="53">
        <f t="shared" si="4"/>
        <v>822000000</v>
      </c>
      <c r="K34" s="53">
        <f t="shared" si="5"/>
        <v>-822000000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813</v>
      </c>
      <c r="H35" s="36">
        <f t="shared" si="2"/>
        <v>1</v>
      </c>
      <c r="I35" s="11">
        <f t="shared" si="3"/>
        <v>42607264</v>
      </c>
      <c r="J35" s="53">
        <f t="shared" si="4"/>
        <v>-17590356</v>
      </c>
      <c r="K35" s="53">
        <f t="shared" si="5"/>
        <v>60197620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813</v>
      </c>
      <c r="H36" s="36">
        <f t="shared" si="2"/>
        <v>0</v>
      </c>
      <c r="I36" s="11">
        <f t="shared" si="3"/>
        <v>0</v>
      </c>
      <c r="J36" s="53">
        <f t="shared" si="4"/>
        <v>17612019</v>
      </c>
      <c r="K36" s="53">
        <f t="shared" si="5"/>
        <v>-17612019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803</v>
      </c>
      <c r="H37" s="36">
        <f t="shared" si="2"/>
        <v>0</v>
      </c>
      <c r="I37" s="11">
        <f t="shared" si="3"/>
        <v>-44165000</v>
      </c>
      <c r="J37" s="53">
        <f t="shared" si="4"/>
        <v>0</v>
      </c>
      <c r="K37" s="53">
        <f t="shared" si="5"/>
        <v>-44165000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802</v>
      </c>
      <c r="H38" s="36">
        <f t="shared" si="2"/>
        <v>1</v>
      </c>
      <c r="I38" s="11">
        <f t="shared" si="3"/>
        <v>2403000000</v>
      </c>
      <c r="J38" s="53">
        <f t="shared" si="4"/>
        <v>2403000000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801</v>
      </c>
      <c r="H39" s="36">
        <f t="shared" si="2"/>
        <v>1</v>
      </c>
      <c r="I39" s="11">
        <f t="shared" si="3"/>
        <v>2000000000</v>
      </c>
      <c r="J39" s="53">
        <f t="shared" si="4"/>
        <v>2000000000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801</v>
      </c>
      <c r="H40" s="36">
        <f t="shared" si="2"/>
        <v>0</v>
      </c>
      <c r="I40" s="11">
        <f t="shared" si="3"/>
        <v>-40050000</v>
      </c>
      <c r="J40" s="53">
        <f t="shared" si="4"/>
        <v>0</v>
      </c>
      <c r="K40" s="53">
        <f t="shared" si="5"/>
        <v>-40050000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801</v>
      </c>
      <c r="H41" s="36">
        <f t="shared" si="2"/>
        <v>1</v>
      </c>
      <c r="I41" s="11">
        <f t="shared" si="3"/>
        <v>2400000000</v>
      </c>
      <c r="J41" s="53">
        <f t="shared" si="4"/>
        <v>0</v>
      </c>
      <c r="K41" s="53">
        <f t="shared" si="5"/>
        <v>2400000000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798</v>
      </c>
      <c r="H42" s="36">
        <f t="shared" si="2"/>
        <v>0</v>
      </c>
      <c r="I42" s="11">
        <f t="shared" si="3"/>
        <v>-71181600</v>
      </c>
      <c r="J42" s="53">
        <f t="shared" si="4"/>
        <v>0</v>
      </c>
      <c r="K42" s="53">
        <f t="shared" si="5"/>
        <v>-71181600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794</v>
      </c>
      <c r="H43" s="36">
        <f t="shared" si="2"/>
        <v>0</v>
      </c>
      <c r="I43" s="11">
        <f t="shared" si="3"/>
        <v>-158800000</v>
      </c>
      <c r="J43" s="53">
        <f t="shared" si="4"/>
        <v>0</v>
      </c>
      <c r="K43" s="53">
        <f t="shared" si="5"/>
        <v>-158800000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792</v>
      </c>
      <c r="H44" s="36">
        <f t="shared" si="2"/>
        <v>0</v>
      </c>
      <c r="I44" s="11">
        <f t="shared" si="3"/>
        <v>-158400000</v>
      </c>
      <c r="J44" s="53">
        <f t="shared" si="4"/>
        <v>0</v>
      </c>
      <c r="K44" s="53">
        <f t="shared" si="5"/>
        <v>-158400000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792</v>
      </c>
      <c r="H45" s="36">
        <f t="shared" si="2"/>
        <v>0</v>
      </c>
      <c r="I45" s="11">
        <f t="shared" si="3"/>
        <v>-443520000</v>
      </c>
      <c r="J45" s="53">
        <f t="shared" si="4"/>
        <v>0</v>
      </c>
      <c r="K45" s="53">
        <f t="shared" si="5"/>
        <v>-443520000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788</v>
      </c>
      <c r="H46" s="36">
        <f t="shared" si="2"/>
        <v>0</v>
      </c>
      <c r="I46" s="11">
        <f t="shared" si="3"/>
        <v>-555934000</v>
      </c>
      <c r="J46" s="53">
        <f t="shared" si="4"/>
        <v>0</v>
      </c>
      <c r="K46" s="53">
        <f t="shared" si="5"/>
        <v>-555934000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782</v>
      </c>
      <c r="H47" s="36">
        <f t="shared" si="2"/>
        <v>1</v>
      </c>
      <c r="I47" s="11">
        <f t="shared" si="3"/>
        <v>32180324</v>
      </c>
      <c r="J47" s="53">
        <f t="shared" si="4"/>
        <v>5242853</v>
      </c>
      <c r="K47" s="53">
        <f t="shared" si="5"/>
        <v>26937471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782</v>
      </c>
      <c r="H48" s="36">
        <f t="shared" si="2"/>
        <v>1</v>
      </c>
      <c r="I48" s="11">
        <f t="shared" si="3"/>
        <v>1331370700</v>
      </c>
      <c r="J48" s="53">
        <f t="shared" si="4"/>
        <v>0</v>
      </c>
      <c r="K48" s="53">
        <f t="shared" si="5"/>
        <v>1331370700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773</v>
      </c>
      <c r="H49" s="36">
        <f t="shared" si="2"/>
        <v>0</v>
      </c>
      <c r="I49" s="11">
        <f t="shared" si="3"/>
        <v>-119815000</v>
      </c>
      <c r="J49" s="53">
        <f t="shared" si="4"/>
        <v>0</v>
      </c>
      <c r="K49" s="53">
        <f t="shared" si="5"/>
        <v>-119815000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773</v>
      </c>
      <c r="H50" s="36">
        <f t="shared" si="2"/>
        <v>0</v>
      </c>
      <c r="I50" s="11">
        <f t="shared" si="3"/>
        <v>-106674000</v>
      </c>
      <c r="J50" s="53">
        <f t="shared" si="4"/>
        <v>0</v>
      </c>
      <c r="K50" s="53">
        <f t="shared" si="5"/>
        <v>-106674000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773</v>
      </c>
      <c r="H51" s="36">
        <f t="shared" si="2"/>
        <v>0</v>
      </c>
      <c r="I51" s="11">
        <f t="shared" si="3"/>
        <v>-572020000</v>
      </c>
      <c r="J51" s="53">
        <f t="shared" si="4"/>
        <v>0</v>
      </c>
      <c r="K51" s="53">
        <f t="shared" si="5"/>
        <v>-572020000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773</v>
      </c>
      <c r="H52" s="36">
        <f t="shared" si="2"/>
        <v>0</v>
      </c>
      <c r="I52" s="11">
        <f t="shared" si="3"/>
        <v>-154600000</v>
      </c>
      <c r="J52" s="53">
        <f t="shared" si="4"/>
        <v>0</v>
      </c>
      <c r="K52" s="53">
        <f t="shared" si="5"/>
        <v>-154600000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772</v>
      </c>
      <c r="H53" s="36">
        <f t="shared" si="2"/>
        <v>0</v>
      </c>
      <c r="I53" s="11">
        <f t="shared" si="3"/>
        <v>-814460000</v>
      </c>
      <c r="J53" s="53">
        <f t="shared" si="4"/>
        <v>0</v>
      </c>
      <c r="K53" s="53">
        <f t="shared" si="5"/>
        <v>-814460000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772</v>
      </c>
      <c r="H54" s="36">
        <f t="shared" si="2"/>
        <v>0</v>
      </c>
      <c r="I54" s="11">
        <f t="shared" si="3"/>
        <v>-154400000</v>
      </c>
      <c r="J54" s="53">
        <f t="shared" si="4"/>
        <v>0</v>
      </c>
      <c r="K54" s="53">
        <f t="shared" si="5"/>
        <v>-154400000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772</v>
      </c>
      <c r="H55" s="36">
        <f t="shared" si="2"/>
        <v>0</v>
      </c>
      <c r="I55" s="11">
        <f t="shared" si="3"/>
        <v>-772386000</v>
      </c>
      <c r="J55" s="53">
        <f t="shared" si="4"/>
        <v>0</v>
      </c>
      <c r="K55" s="53">
        <f t="shared" si="5"/>
        <v>-772386000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772</v>
      </c>
      <c r="H56" s="36">
        <f t="shared" si="2"/>
        <v>0</v>
      </c>
      <c r="I56" s="11">
        <f t="shared" si="3"/>
        <v>-29336000</v>
      </c>
      <c r="J56" s="53">
        <f t="shared" si="4"/>
        <v>0</v>
      </c>
      <c r="K56" s="53">
        <f t="shared" si="5"/>
        <v>-29336000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772</v>
      </c>
      <c r="H57" s="36">
        <f t="shared" si="2"/>
        <v>0</v>
      </c>
      <c r="I57" s="11">
        <f t="shared" si="3"/>
        <v>-81060000</v>
      </c>
      <c r="J57" s="53">
        <f t="shared" si="4"/>
        <v>0</v>
      </c>
      <c r="K57" s="53">
        <f t="shared" si="5"/>
        <v>-81060000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772</v>
      </c>
      <c r="H58" s="36">
        <f t="shared" si="2"/>
        <v>0</v>
      </c>
      <c r="I58" s="11">
        <f t="shared" si="3"/>
        <v>-46320000</v>
      </c>
      <c r="J58" s="53">
        <f t="shared" si="4"/>
        <v>0</v>
      </c>
      <c r="K58" s="53">
        <f t="shared" si="5"/>
        <v>-46320000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769</v>
      </c>
      <c r="H59" s="36">
        <f t="shared" si="2"/>
        <v>1</v>
      </c>
      <c r="I59" s="11">
        <f t="shared" si="3"/>
        <v>768000000</v>
      </c>
      <c r="J59" s="53">
        <f t="shared" si="4"/>
        <v>768000000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768</v>
      </c>
      <c r="H60" s="36">
        <f t="shared" si="2"/>
        <v>1</v>
      </c>
      <c r="I60" s="11">
        <f t="shared" si="3"/>
        <v>2684500000</v>
      </c>
      <c r="J60" s="53">
        <f t="shared" si="4"/>
        <v>2684500000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766</v>
      </c>
      <c r="H61" s="36">
        <f t="shared" si="2"/>
        <v>1</v>
      </c>
      <c r="I61" s="11">
        <f t="shared" si="3"/>
        <v>765000000</v>
      </c>
      <c r="J61" s="53">
        <f t="shared" si="4"/>
        <v>765000000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766</v>
      </c>
      <c r="H62" s="36">
        <f t="shared" si="2"/>
        <v>1</v>
      </c>
      <c r="I62" s="11">
        <f t="shared" si="3"/>
        <v>2295000000</v>
      </c>
      <c r="J62" s="53">
        <f t="shared" si="4"/>
        <v>2295000000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764</v>
      </c>
      <c r="H63" s="36">
        <f t="shared" si="2"/>
        <v>0</v>
      </c>
      <c r="I63" s="11">
        <f t="shared" si="3"/>
        <v>-152800000</v>
      </c>
      <c r="J63" s="53">
        <f t="shared" si="4"/>
        <v>0</v>
      </c>
      <c r="K63" s="53">
        <f t="shared" si="5"/>
        <v>-152800000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759</v>
      </c>
      <c r="H64" s="36">
        <f t="shared" si="2"/>
        <v>0</v>
      </c>
      <c r="I64" s="11">
        <f t="shared" si="3"/>
        <v>-37950000</v>
      </c>
      <c r="J64" s="53">
        <f t="shared" si="4"/>
        <v>0</v>
      </c>
      <c r="K64" s="53">
        <f t="shared" si="5"/>
        <v>-37950000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755</v>
      </c>
      <c r="H65" s="36">
        <f t="shared" si="2"/>
        <v>0</v>
      </c>
      <c r="I65" s="11">
        <f t="shared" si="3"/>
        <v>-151000000</v>
      </c>
      <c r="J65" s="53">
        <f t="shared" si="4"/>
        <v>0</v>
      </c>
      <c r="K65" s="53">
        <f t="shared" si="5"/>
        <v>-151000000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752</v>
      </c>
      <c r="H66" s="36">
        <f t="shared" si="2"/>
        <v>0</v>
      </c>
      <c r="I66" s="11">
        <f t="shared" si="3"/>
        <v>-127840000</v>
      </c>
      <c r="J66" s="53">
        <f t="shared" si="4"/>
        <v>0</v>
      </c>
      <c r="K66" s="53">
        <f t="shared" si="5"/>
        <v>-127840000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751</v>
      </c>
      <c r="H67" s="36">
        <f t="shared" ref="H67:H131" si="8">IF(B67&gt;0,1,0)</f>
        <v>1</v>
      </c>
      <c r="I67" s="11">
        <f t="shared" ref="I67:I119" si="9">B67*(G67-H67)</f>
        <v>68493750</v>
      </c>
      <c r="J67" s="53">
        <f t="shared" ref="J67:J131" si="10">C67*(G67-H67)</f>
        <v>49292250</v>
      </c>
      <c r="K67" s="53">
        <f t="shared" ref="K67:K131" si="11">D67*(G67-H67)</f>
        <v>19201500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733</v>
      </c>
      <c r="H68" s="36">
        <f t="shared" si="8"/>
        <v>0</v>
      </c>
      <c r="I68" s="11">
        <f t="shared" si="9"/>
        <v>-106285000</v>
      </c>
      <c r="J68" s="53">
        <f t="shared" si="10"/>
        <v>0</v>
      </c>
      <c r="K68" s="53">
        <f t="shared" si="11"/>
        <v>-106285000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726</v>
      </c>
      <c r="H69" s="36">
        <f t="shared" si="8"/>
        <v>1</v>
      </c>
      <c r="I69" s="11">
        <f t="shared" si="9"/>
        <v>710500000</v>
      </c>
      <c r="J69" s="53">
        <f t="shared" si="10"/>
        <v>0</v>
      </c>
      <c r="K69" s="53">
        <f t="shared" si="11"/>
        <v>710500000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723</v>
      </c>
      <c r="H70" s="36">
        <f t="shared" si="8"/>
        <v>0</v>
      </c>
      <c r="I70" s="11">
        <f t="shared" si="9"/>
        <v>-33258000</v>
      </c>
      <c r="J70" s="53">
        <f t="shared" si="10"/>
        <v>0</v>
      </c>
      <c r="K70" s="53">
        <f t="shared" si="11"/>
        <v>-33258000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721</v>
      </c>
      <c r="H71" s="36">
        <f t="shared" si="8"/>
        <v>1</v>
      </c>
      <c r="I71" s="11">
        <f t="shared" si="9"/>
        <v>83043360</v>
      </c>
      <c r="J71" s="53">
        <f t="shared" si="10"/>
        <v>74744640</v>
      </c>
      <c r="K71" s="53">
        <f t="shared" si="11"/>
        <v>8298720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720</v>
      </c>
      <c r="H72" s="36">
        <f t="shared" si="8"/>
        <v>0</v>
      </c>
      <c r="I72" s="11">
        <f t="shared" si="9"/>
        <v>-109417680</v>
      </c>
      <c r="J72" s="53">
        <f t="shared" si="10"/>
        <v>0</v>
      </c>
      <c r="K72" s="53">
        <f t="shared" si="11"/>
        <v>-109417680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719</v>
      </c>
      <c r="H73" s="36">
        <f t="shared" si="8"/>
        <v>0</v>
      </c>
      <c r="I73" s="11">
        <f t="shared" si="9"/>
        <v>-579154500</v>
      </c>
      <c r="J73" s="53">
        <f t="shared" si="10"/>
        <v>0</v>
      </c>
      <c r="K73" s="53">
        <f t="shared" si="11"/>
        <v>-579154500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712</v>
      </c>
      <c r="H74" s="36">
        <f t="shared" si="8"/>
        <v>1</v>
      </c>
      <c r="I74" s="11">
        <f t="shared" si="9"/>
        <v>4973445000</v>
      </c>
      <c r="J74" s="53">
        <f t="shared" si="10"/>
        <v>0</v>
      </c>
      <c r="K74" s="53">
        <f t="shared" si="11"/>
        <v>4973445000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711</v>
      </c>
      <c r="H75" s="36">
        <f t="shared" si="8"/>
        <v>1</v>
      </c>
      <c r="I75" s="11">
        <f t="shared" si="9"/>
        <v>2130000000</v>
      </c>
      <c r="J75" s="53">
        <f t="shared" si="10"/>
        <v>0</v>
      </c>
      <c r="K75" s="53">
        <f t="shared" si="11"/>
        <v>2130000000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709</v>
      </c>
      <c r="H76" s="36">
        <f t="shared" si="8"/>
        <v>1</v>
      </c>
      <c r="I76" s="11">
        <f t="shared" si="9"/>
        <v>2124000000</v>
      </c>
      <c r="J76" s="53">
        <f t="shared" si="10"/>
        <v>0</v>
      </c>
      <c r="K76" s="53">
        <f t="shared" si="11"/>
        <v>2124000000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708</v>
      </c>
      <c r="H77" s="36">
        <f t="shared" si="8"/>
        <v>1</v>
      </c>
      <c r="I77" s="11">
        <f t="shared" si="9"/>
        <v>2121000000</v>
      </c>
      <c r="J77" s="53">
        <f t="shared" si="10"/>
        <v>0</v>
      </c>
      <c r="K77" s="53">
        <f t="shared" si="11"/>
        <v>2121000000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707</v>
      </c>
      <c r="H78" s="36">
        <f t="shared" si="8"/>
        <v>0</v>
      </c>
      <c r="I78" s="11">
        <f t="shared" si="9"/>
        <v>-2262400000</v>
      </c>
      <c r="J78" s="53">
        <f t="shared" si="10"/>
        <v>-2262400000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706</v>
      </c>
      <c r="H79" s="36">
        <f t="shared" si="8"/>
        <v>0</v>
      </c>
      <c r="I79" s="11">
        <f t="shared" si="9"/>
        <v>-564800000</v>
      </c>
      <c r="J79" s="53">
        <f t="shared" si="10"/>
        <v>-564800000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705</v>
      </c>
      <c r="H80" s="36">
        <f t="shared" si="8"/>
        <v>0</v>
      </c>
      <c r="I80" s="11">
        <f t="shared" si="9"/>
        <v>-34117065</v>
      </c>
      <c r="J80" s="53">
        <f t="shared" si="10"/>
        <v>0</v>
      </c>
      <c r="K80" s="53">
        <f t="shared" si="11"/>
        <v>-34117065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704</v>
      </c>
      <c r="H81" s="36">
        <f t="shared" si="8"/>
        <v>0</v>
      </c>
      <c r="I81" s="11">
        <f t="shared" si="9"/>
        <v>-98560000</v>
      </c>
      <c r="J81" s="53">
        <f t="shared" si="10"/>
        <v>0</v>
      </c>
      <c r="K81" s="53">
        <f t="shared" si="11"/>
        <v>-98560000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703</v>
      </c>
      <c r="H82" s="36">
        <f t="shared" si="8"/>
        <v>0</v>
      </c>
      <c r="I82" s="11">
        <f t="shared" si="9"/>
        <v>-175750000</v>
      </c>
      <c r="J82" s="53">
        <f t="shared" si="10"/>
        <v>0</v>
      </c>
      <c r="K82" s="53">
        <f t="shared" si="11"/>
        <v>-175750000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702</v>
      </c>
      <c r="H83" s="36">
        <f t="shared" si="8"/>
        <v>0</v>
      </c>
      <c r="I83" s="11">
        <f t="shared" si="9"/>
        <v>-140400000</v>
      </c>
      <c r="J83" s="53">
        <f t="shared" si="10"/>
        <v>0</v>
      </c>
      <c r="K83" s="53">
        <f t="shared" si="11"/>
        <v>-140400000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699</v>
      </c>
      <c r="H84" s="36">
        <f t="shared" si="8"/>
        <v>1</v>
      </c>
      <c r="I84" s="11">
        <f t="shared" si="9"/>
        <v>1141369600</v>
      </c>
      <c r="J84" s="53">
        <f t="shared" si="10"/>
        <v>0</v>
      </c>
      <c r="K84" s="53">
        <f t="shared" si="11"/>
        <v>1141369600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695</v>
      </c>
      <c r="H85" s="36">
        <f t="shared" si="8"/>
        <v>1</v>
      </c>
      <c r="I85" s="11">
        <f t="shared" si="9"/>
        <v>1735000000</v>
      </c>
      <c r="J85" s="53">
        <f t="shared" si="10"/>
        <v>0</v>
      </c>
      <c r="K85" s="53">
        <f t="shared" si="11"/>
        <v>1735000000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691</v>
      </c>
      <c r="H86" s="36">
        <f t="shared" si="8"/>
        <v>1</v>
      </c>
      <c r="I86" s="11">
        <f t="shared" si="9"/>
        <v>128547000</v>
      </c>
      <c r="J86" s="53">
        <f t="shared" si="10"/>
        <v>58615500</v>
      </c>
      <c r="K86" s="53">
        <f t="shared" si="11"/>
        <v>69931500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688</v>
      </c>
      <c r="H87" s="36">
        <f t="shared" si="8"/>
        <v>0</v>
      </c>
      <c r="I87" s="11">
        <f t="shared" si="9"/>
        <v>-137600000</v>
      </c>
      <c r="J87" s="53">
        <f t="shared" si="10"/>
        <v>0</v>
      </c>
      <c r="K87" s="53">
        <f t="shared" si="11"/>
        <v>-137600000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687</v>
      </c>
      <c r="H88" s="36">
        <f t="shared" si="8"/>
        <v>0</v>
      </c>
      <c r="I88" s="11">
        <f t="shared" si="9"/>
        <v>-81066000</v>
      </c>
      <c r="J88" s="53">
        <f t="shared" si="10"/>
        <v>-47403000</v>
      </c>
      <c r="K88" s="53">
        <f t="shared" si="11"/>
        <v>-33663000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679</v>
      </c>
      <c r="H89" s="36">
        <f t="shared" si="8"/>
        <v>0</v>
      </c>
      <c r="I89" s="11">
        <f t="shared" si="9"/>
        <v>-2173411100</v>
      </c>
      <c r="J89" s="53">
        <f t="shared" si="10"/>
        <v>0</v>
      </c>
      <c r="K89" s="53">
        <f t="shared" si="11"/>
        <v>-2173411100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678</v>
      </c>
      <c r="H90" s="36">
        <f t="shared" si="8"/>
        <v>0</v>
      </c>
      <c r="I90" s="11">
        <f t="shared" si="9"/>
        <v>-2170210200</v>
      </c>
      <c r="J90" s="53">
        <f t="shared" si="10"/>
        <v>0</v>
      </c>
      <c r="K90" s="53">
        <f t="shared" si="11"/>
        <v>-2170210200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677</v>
      </c>
      <c r="H91" s="36">
        <f t="shared" si="8"/>
        <v>0</v>
      </c>
      <c r="I91" s="11">
        <f t="shared" si="9"/>
        <v>-2167009300</v>
      </c>
      <c r="J91" s="53">
        <f t="shared" si="10"/>
        <v>0</v>
      </c>
      <c r="K91" s="53">
        <f t="shared" si="11"/>
        <v>-2167009300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676</v>
      </c>
      <c r="H92" s="36">
        <f t="shared" si="8"/>
        <v>0</v>
      </c>
      <c r="I92" s="11">
        <f t="shared" si="9"/>
        <v>-2163808400</v>
      </c>
      <c r="J92" s="53">
        <f t="shared" si="10"/>
        <v>0</v>
      </c>
      <c r="K92" s="53">
        <f t="shared" si="11"/>
        <v>-2163808400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675</v>
      </c>
      <c r="H93" s="36">
        <f t="shared" si="8"/>
        <v>0</v>
      </c>
      <c r="I93" s="11">
        <f t="shared" si="9"/>
        <v>-2160607500</v>
      </c>
      <c r="J93" s="53">
        <f t="shared" si="10"/>
        <v>0</v>
      </c>
      <c r="K93" s="53">
        <f t="shared" si="11"/>
        <v>-2160607500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674</v>
      </c>
      <c r="H94" s="36">
        <f t="shared" si="8"/>
        <v>0</v>
      </c>
      <c r="I94" s="11">
        <f t="shared" si="9"/>
        <v>-2157406600</v>
      </c>
      <c r="J94" s="53">
        <f t="shared" si="10"/>
        <v>0</v>
      </c>
      <c r="K94" s="53">
        <f t="shared" si="11"/>
        <v>-2157406600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672</v>
      </c>
      <c r="H95" s="36">
        <f t="shared" si="8"/>
        <v>0</v>
      </c>
      <c r="I95" s="11">
        <f t="shared" si="9"/>
        <v>-804112512</v>
      </c>
      <c r="J95" s="53">
        <f t="shared" si="10"/>
        <v>0</v>
      </c>
      <c r="K95" s="53">
        <f t="shared" si="11"/>
        <v>-804112512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662</v>
      </c>
      <c r="H96" s="36">
        <f t="shared" si="8"/>
        <v>0</v>
      </c>
      <c r="I96" s="11">
        <f t="shared" si="9"/>
        <v>-132400000</v>
      </c>
      <c r="J96" s="53">
        <f t="shared" si="10"/>
        <v>0</v>
      </c>
      <c r="K96" s="53">
        <f t="shared" si="11"/>
        <v>-132400000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661</v>
      </c>
      <c r="H97" s="36">
        <f t="shared" si="8"/>
        <v>1</v>
      </c>
      <c r="I97" s="11">
        <f t="shared" si="9"/>
        <v>105308280</v>
      </c>
      <c r="J97" s="53">
        <f t="shared" si="10"/>
        <v>45491160</v>
      </c>
      <c r="K97" s="53">
        <f t="shared" si="11"/>
        <v>59817120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656</v>
      </c>
      <c r="H98" s="36">
        <f t="shared" si="8"/>
        <v>1</v>
      </c>
      <c r="I98" s="11">
        <f t="shared" si="9"/>
        <v>74911040</v>
      </c>
      <c r="J98" s="53">
        <f t="shared" si="10"/>
        <v>0</v>
      </c>
      <c r="K98" s="53">
        <f t="shared" si="11"/>
        <v>74911040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653</v>
      </c>
      <c r="H99" s="36">
        <f t="shared" si="8"/>
        <v>0</v>
      </c>
      <c r="I99" s="11">
        <f t="shared" si="9"/>
        <v>-865225000</v>
      </c>
      <c r="J99" s="53">
        <f t="shared" si="10"/>
        <v>0</v>
      </c>
      <c r="K99" s="53">
        <f t="shared" si="11"/>
        <v>-865225000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648</v>
      </c>
      <c r="H100" s="36">
        <f t="shared" si="8"/>
        <v>1</v>
      </c>
      <c r="I100" s="11">
        <f t="shared" si="9"/>
        <v>857275000</v>
      </c>
      <c r="J100" s="53">
        <f t="shared" si="10"/>
        <v>0</v>
      </c>
      <c r="K100" s="53">
        <f t="shared" si="11"/>
        <v>857275000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631</v>
      </c>
      <c r="H101" s="36">
        <f t="shared" si="8"/>
        <v>1</v>
      </c>
      <c r="I101" s="11">
        <f t="shared" si="9"/>
        <v>42112350</v>
      </c>
      <c r="J101" s="53">
        <f t="shared" si="10"/>
        <v>42112350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628</v>
      </c>
      <c r="H102" s="36">
        <f t="shared" si="8"/>
        <v>1</v>
      </c>
      <c r="I102" s="11">
        <f t="shared" si="9"/>
        <v>1881000000</v>
      </c>
      <c r="J102" s="53">
        <f t="shared" si="10"/>
        <v>0</v>
      </c>
      <c r="K102" s="53">
        <f t="shared" si="11"/>
        <v>1881000000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621</v>
      </c>
      <c r="H103" s="36">
        <f t="shared" si="8"/>
        <v>0</v>
      </c>
      <c r="I103" s="11">
        <f t="shared" si="9"/>
        <v>-621000000</v>
      </c>
      <c r="J103" s="53">
        <f t="shared" si="10"/>
        <v>-621000000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611</v>
      </c>
      <c r="H104" s="36">
        <f t="shared" si="8"/>
        <v>1</v>
      </c>
      <c r="I104" s="11">
        <f t="shared" si="9"/>
        <v>1830000000</v>
      </c>
      <c r="J104" s="53">
        <f t="shared" si="10"/>
        <v>1830000000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610</v>
      </c>
      <c r="H105" s="36">
        <f t="shared" si="8"/>
        <v>1</v>
      </c>
      <c r="I105" s="11">
        <f t="shared" si="9"/>
        <v>682080000</v>
      </c>
      <c r="J105" s="53">
        <f t="shared" si="10"/>
        <v>682080000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610</v>
      </c>
      <c r="H106" s="36">
        <f t="shared" si="8"/>
        <v>0</v>
      </c>
      <c r="I106" s="11">
        <f t="shared" si="9"/>
        <v>-1830000000</v>
      </c>
      <c r="J106" s="53">
        <f t="shared" si="10"/>
        <v>0</v>
      </c>
      <c r="K106" s="53">
        <f t="shared" si="11"/>
        <v>-1830000000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601</v>
      </c>
      <c r="H107" s="36">
        <f t="shared" si="8"/>
        <v>1</v>
      </c>
      <c r="I107" s="11">
        <f t="shared" si="9"/>
        <v>54296400</v>
      </c>
      <c r="J107" s="53">
        <f t="shared" si="10"/>
        <v>45069000</v>
      </c>
      <c r="K107" s="53">
        <f t="shared" si="11"/>
        <v>9227400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599</v>
      </c>
      <c r="H108" s="36">
        <f t="shared" si="8"/>
        <v>0</v>
      </c>
      <c r="I108" s="11">
        <f t="shared" si="9"/>
        <v>-1018719300</v>
      </c>
      <c r="J108" s="53">
        <f t="shared" si="10"/>
        <v>0</v>
      </c>
      <c r="K108" s="53">
        <f t="shared" si="11"/>
        <v>-1018719300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595</v>
      </c>
      <c r="H109" s="36">
        <f t="shared" si="8"/>
        <v>0</v>
      </c>
      <c r="I109" s="11">
        <f t="shared" si="9"/>
        <v>-595297500</v>
      </c>
      <c r="J109" s="53">
        <f t="shared" si="10"/>
        <v>0</v>
      </c>
      <c r="K109" s="53">
        <f t="shared" si="11"/>
        <v>-595297500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592</v>
      </c>
      <c r="H110" s="36">
        <f t="shared" si="8"/>
        <v>1</v>
      </c>
      <c r="I110" s="11">
        <f t="shared" si="9"/>
        <v>11820000000</v>
      </c>
      <c r="J110" s="53">
        <f t="shared" si="10"/>
        <v>0</v>
      </c>
      <c r="K110" s="53">
        <f t="shared" si="11"/>
        <v>11820000000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572</v>
      </c>
      <c r="H111" s="36">
        <f t="shared" si="8"/>
        <v>1</v>
      </c>
      <c r="I111" s="11">
        <f t="shared" si="9"/>
        <v>99741138</v>
      </c>
      <c r="J111" s="53">
        <f t="shared" si="10"/>
        <v>49884273</v>
      </c>
      <c r="K111" s="53">
        <f t="shared" si="11"/>
        <v>49856865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556</v>
      </c>
      <c r="H112" s="36">
        <f t="shared" si="8"/>
        <v>0</v>
      </c>
      <c r="I112" s="11">
        <f t="shared" si="9"/>
        <v>-15790400000</v>
      </c>
      <c r="J112" s="53">
        <f t="shared" si="10"/>
        <v>0</v>
      </c>
      <c r="K112" s="53">
        <f t="shared" si="11"/>
        <v>-15790400000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541</v>
      </c>
      <c r="H113" s="36">
        <f t="shared" si="8"/>
        <v>1</v>
      </c>
      <c r="I113" s="11">
        <f t="shared" si="9"/>
        <v>88041600</v>
      </c>
      <c r="J113" s="53">
        <f t="shared" si="10"/>
        <v>66155940</v>
      </c>
      <c r="K113" s="53">
        <f t="shared" si="11"/>
        <v>21885660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541</v>
      </c>
      <c r="H114" s="36">
        <f t="shared" si="8"/>
        <v>0</v>
      </c>
      <c r="I114" s="11">
        <f t="shared" si="9"/>
        <v>-3083700</v>
      </c>
      <c r="J114" s="53">
        <f t="shared" si="10"/>
        <v>-1352500</v>
      </c>
      <c r="K114" s="53">
        <f t="shared" si="11"/>
        <v>-1731200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528</v>
      </c>
      <c r="H115" s="36">
        <f t="shared" si="8"/>
        <v>0</v>
      </c>
      <c r="I115" s="11">
        <f t="shared" si="9"/>
        <v>0</v>
      </c>
      <c r="J115" s="53">
        <f t="shared" si="10"/>
        <v>264000000</v>
      </c>
      <c r="K115" s="53">
        <f t="shared" si="11"/>
        <v>-264000000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520</v>
      </c>
      <c r="H116" s="36">
        <f t="shared" si="8"/>
        <v>0</v>
      </c>
      <c r="I116" s="11">
        <f t="shared" si="9"/>
        <v>-83200000</v>
      </c>
      <c r="J116" s="53">
        <f t="shared" si="10"/>
        <v>0</v>
      </c>
      <c r="K116" s="53">
        <f t="shared" si="11"/>
        <v>-83200000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511</v>
      </c>
      <c r="H117" s="36">
        <f t="shared" si="8"/>
        <v>1</v>
      </c>
      <c r="I117" s="11">
        <f t="shared" si="9"/>
        <v>754800</v>
      </c>
      <c r="J117" s="53">
        <f t="shared" si="10"/>
        <v>54539910</v>
      </c>
      <c r="K117" s="53">
        <f t="shared" si="11"/>
        <v>-53785110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489</v>
      </c>
      <c r="H118" s="36">
        <f t="shared" si="8"/>
        <v>1</v>
      </c>
      <c r="I118" s="11">
        <f t="shared" si="9"/>
        <v>19226956000</v>
      </c>
      <c r="J118" s="53">
        <f t="shared" si="10"/>
        <v>0</v>
      </c>
      <c r="K118" s="53">
        <f t="shared" si="11"/>
        <v>19226956000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480</v>
      </c>
      <c r="H119" s="36">
        <f t="shared" si="8"/>
        <v>1</v>
      </c>
      <c r="I119" s="11">
        <f t="shared" si="9"/>
        <v>45754559</v>
      </c>
      <c r="J119" s="53">
        <f t="shared" si="10"/>
        <v>52715866</v>
      </c>
      <c r="K119" s="53">
        <f t="shared" si="11"/>
        <v>-6961307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476</v>
      </c>
      <c r="H120" s="11">
        <f t="shared" si="8"/>
        <v>1</v>
      </c>
      <c r="I120" s="11">
        <f t="shared" ref="I120:I266" si="13">B120*(G120-H120)</f>
        <v>950000000</v>
      </c>
      <c r="J120" s="11">
        <f t="shared" si="10"/>
        <v>0</v>
      </c>
      <c r="K120" s="11">
        <f t="shared" si="11"/>
        <v>950000000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450</v>
      </c>
      <c r="H121" s="11">
        <f t="shared" si="8"/>
        <v>1</v>
      </c>
      <c r="I121" s="11">
        <f t="shared" si="13"/>
        <v>1167400000</v>
      </c>
      <c r="J121" s="11">
        <f t="shared" si="10"/>
        <v>0</v>
      </c>
      <c r="K121" s="11">
        <f t="shared" si="11"/>
        <v>1167400000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449</v>
      </c>
      <c r="H122" s="11">
        <f t="shared" si="8"/>
        <v>1</v>
      </c>
      <c r="I122" s="11">
        <f t="shared" si="13"/>
        <v>172278848</v>
      </c>
      <c r="J122" s="11">
        <f t="shared" si="10"/>
        <v>49686784</v>
      </c>
      <c r="K122" s="11">
        <f t="shared" si="11"/>
        <v>122592064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448</v>
      </c>
      <c r="H123" s="11">
        <f t="shared" si="8"/>
        <v>0</v>
      </c>
      <c r="I123" s="11">
        <f t="shared" si="13"/>
        <v>0</v>
      </c>
      <c r="J123" s="11">
        <f t="shared" si="10"/>
        <v>358400000</v>
      </c>
      <c r="K123" s="11">
        <f t="shared" si="11"/>
        <v>-358400000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434</v>
      </c>
      <c r="H124" s="11">
        <f t="shared" si="8"/>
        <v>0</v>
      </c>
      <c r="I124" s="11">
        <f t="shared" si="13"/>
        <v>-1302000000</v>
      </c>
      <c r="J124" s="11">
        <f t="shared" si="10"/>
        <v>0</v>
      </c>
      <c r="K124" s="11">
        <f t="shared" si="11"/>
        <v>-1302000000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419</v>
      </c>
      <c r="H125" s="11">
        <f t="shared" si="8"/>
        <v>1</v>
      </c>
      <c r="I125" s="11">
        <f t="shared" si="13"/>
        <v>167496780</v>
      </c>
      <c r="J125" s="11">
        <f t="shared" si="10"/>
        <v>49689750</v>
      </c>
      <c r="K125" s="11">
        <f t="shared" si="11"/>
        <v>117807030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419</v>
      </c>
      <c r="H126" s="11">
        <f t="shared" si="8"/>
        <v>1</v>
      </c>
      <c r="I126" s="11">
        <f t="shared" si="13"/>
        <v>17556000000</v>
      </c>
      <c r="J126" s="11">
        <f t="shared" si="10"/>
        <v>0</v>
      </c>
      <c r="K126" s="11">
        <f t="shared" si="11"/>
        <v>17556000000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394</v>
      </c>
      <c r="H127" s="11">
        <f t="shared" si="8"/>
        <v>0</v>
      </c>
      <c r="I127" s="11">
        <f t="shared" si="13"/>
        <v>-1970000</v>
      </c>
      <c r="J127" s="11">
        <f t="shared" si="10"/>
        <v>0</v>
      </c>
      <c r="K127" s="11">
        <f t="shared" si="11"/>
        <v>-1970000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388</v>
      </c>
      <c r="H128" s="11">
        <f t="shared" si="8"/>
        <v>1</v>
      </c>
      <c r="I128" s="11">
        <f t="shared" si="13"/>
        <v>298521738</v>
      </c>
      <c r="J128" s="11">
        <f t="shared" si="10"/>
        <v>46709739</v>
      </c>
      <c r="K128" s="11">
        <f t="shared" si="11"/>
        <v>251811999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385</v>
      </c>
      <c r="H129" s="11">
        <f t="shared" si="8"/>
        <v>1</v>
      </c>
      <c r="I129" s="11">
        <f t="shared" si="13"/>
        <v>960000000</v>
      </c>
      <c r="J129" s="11">
        <f t="shared" si="10"/>
        <v>0</v>
      </c>
      <c r="K129" s="11">
        <f t="shared" si="11"/>
        <v>960000000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371</v>
      </c>
      <c r="H130" s="11">
        <f t="shared" si="8"/>
        <v>0</v>
      </c>
      <c r="I130" s="11">
        <f t="shared" si="13"/>
        <v>-371000000</v>
      </c>
      <c r="J130" s="11">
        <f t="shared" si="10"/>
        <v>-371000000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366</v>
      </c>
      <c r="H131" s="11">
        <f t="shared" si="8"/>
        <v>0</v>
      </c>
      <c r="I131" s="11">
        <f t="shared" si="13"/>
        <v>-18300000000</v>
      </c>
      <c r="J131" s="11">
        <f t="shared" si="10"/>
        <v>0</v>
      </c>
      <c r="K131" s="11">
        <f t="shared" si="11"/>
        <v>-18300000000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358</v>
      </c>
      <c r="H132" s="11">
        <f t="shared" ref="H132:H266" si="15">IF(B132&gt;0,1,0)</f>
        <v>1</v>
      </c>
      <c r="I132" s="11">
        <f t="shared" si="13"/>
        <v>219300459</v>
      </c>
      <c r="J132" s="11">
        <f t="shared" ref="J132:J206" si="16">C132*(G132-H132)</f>
        <v>37831647</v>
      </c>
      <c r="K132" s="11">
        <f t="shared" ref="K132:K266" si="17">D132*(G132-H132)</f>
        <v>181468812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354</v>
      </c>
      <c r="H133" s="11">
        <f t="shared" si="15"/>
        <v>0</v>
      </c>
      <c r="I133" s="11">
        <f t="shared" si="13"/>
        <v>-428587800</v>
      </c>
      <c r="J133" s="11">
        <f t="shared" si="16"/>
        <v>0</v>
      </c>
      <c r="K133" s="11">
        <f t="shared" si="17"/>
        <v>-428587800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345</v>
      </c>
      <c r="H134" s="11">
        <f t="shared" si="15"/>
        <v>0</v>
      </c>
      <c r="I134" s="11">
        <f t="shared" si="13"/>
        <v>-22425000</v>
      </c>
      <c r="J134" s="11">
        <f t="shared" si="16"/>
        <v>0</v>
      </c>
      <c r="K134" s="11">
        <f t="shared" si="17"/>
        <v>-22425000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345</v>
      </c>
      <c r="H135" s="11">
        <f t="shared" si="15"/>
        <v>0</v>
      </c>
      <c r="I135" s="11">
        <f t="shared" si="13"/>
        <v>-11143500</v>
      </c>
      <c r="J135" s="11">
        <f t="shared" si="16"/>
        <v>0</v>
      </c>
      <c r="K135" s="11">
        <f t="shared" si="17"/>
        <v>-11143500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337</v>
      </c>
      <c r="H136" s="11">
        <f t="shared" si="15"/>
        <v>0</v>
      </c>
      <c r="I136" s="11">
        <f t="shared" si="13"/>
        <v>-337000000</v>
      </c>
      <c r="J136" s="11">
        <f t="shared" si="16"/>
        <v>-337000000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328</v>
      </c>
      <c r="H137" s="11">
        <f t="shared" si="15"/>
        <v>1</v>
      </c>
      <c r="I137" s="11">
        <f t="shared" si="13"/>
        <v>95115471</v>
      </c>
      <c r="J137" s="11">
        <f t="shared" si="16"/>
        <v>31836393</v>
      </c>
      <c r="K137" s="11">
        <f t="shared" si="17"/>
        <v>63279078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311</v>
      </c>
      <c r="H138" s="11">
        <f t="shared" si="15"/>
        <v>0</v>
      </c>
      <c r="I138" s="11">
        <f t="shared" si="13"/>
        <v>-311155500</v>
      </c>
      <c r="J138" s="11">
        <f t="shared" si="16"/>
        <v>-311155500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299</v>
      </c>
      <c r="H139" s="11">
        <f t="shared" si="15"/>
        <v>1</v>
      </c>
      <c r="I139" s="11">
        <f t="shared" si="13"/>
        <v>84107520</v>
      </c>
      <c r="J139" s="11">
        <f t="shared" si="16"/>
        <v>26464486</v>
      </c>
      <c r="K139" s="11">
        <f t="shared" si="17"/>
        <v>57643034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296</v>
      </c>
      <c r="H140" s="11">
        <f t="shared" si="15"/>
        <v>1</v>
      </c>
      <c r="I140" s="11">
        <f t="shared" si="13"/>
        <v>442500000</v>
      </c>
      <c r="J140" s="11">
        <f t="shared" si="16"/>
        <v>0</v>
      </c>
      <c r="K140" s="11">
        <f t="shared" si="17"/>
        <v>442500000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283</v>
      </c>
      <c r="H141" s="11">
        <f t="shared" si="15"/>
        <v>0</v>
      </c>
      <c r="I141" s="11">
        <f t="shared" si="13"/>
        <v>0</v>
      </c>
      <c r="J141" s="11">
        <f t="shared" si="16"/>
        <v>-283000000</v>
      </c>
      <c r="K141" s="11">
        <f t="shared" si="17"/>
        <v>283000000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269</v>
      </c>
      <c r="H142" s="11">
        <f t="shared" si="15"/>
        <v>1</v>
      </c>
      <c r="I142" s="11">
        <f t="shared" si="13"/>
        <v>77959324</v>
      </c>
      <c r="J142" s="11">
        <f t="shared" si="16"/>
        <v>21713896</v>
      </c>
      <c r="K142" s="11">
        <f t="shared" si="17"/>
        <v>56245428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249</v>
      </c>
      <c r="H143" s="11">
        <f t="shared" si="15"/>
        <v>0</v>
      </c>
      <c r="I143" s="11">
        <f t="shared" si="13"/>
        <v>0</v>
      </c>
      <c r="J143" s="11">
        <f t="shared" si="16"/>
        <v>-249000000</v>
      </c>
      <c r="K143" s="11">
        <f t="shared" si="17"/>
        <v>249000000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239</v>
      </c>
      <c r="H144" s="11">
        <f t="shared" si="15"/>
        <v>1</v>
      </c>
      <c r="I144" s="11">
        <f t="shared" si="13"/>
        <v>70174776</v>
      </c>
      <c r="J144" s="11">
        <f t="shared" si="16"/>
        <v>17768366</v>
      </c>
      <c r="K144" s="11">
        <f t="shared" si="17"/>
        <v>52406410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224</v>
      </c>
      <c r="H145" s="11">
        <f t="shared" si="15"/>
        <v>0</v>
      </c>
      <c r="I145" s="11">
        <f t="shared" si="13"/>
        <v>-2240000</v>
      </c>
      <c r="J145" s="11">
        <f t="shared" si="16"/>
        <v>-1120000</v>
      </c>
      <c r="K145" s="11">
        <f t="shared" si="17"/>
        <v>-1120000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219</v>
      </c>
      <c r="H146" s="11">
        <f t="shared" si="15"/>
        <v>0</v>
      </c>
      <c r="I146" s="11">
        <f t="shared" si="13"/>
        <v>-219109500</v>
      </c>
      <c r="J146" s="11">
        <f t="shared" si="16"/>
        <v>-219109500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213</v>
      </c>
      <c r="H147" s="11">
        <f t="shared" si="15"/>
        <v>0</v>
      </c>
      <c r="I147" s="11">
        <f t="shared" si="13"/>
        <v>-5751000000</v>
      </c>
      <c r="J147" s="11">
        <f t="shared" si="16"/>
        <v>0</v>
      </c>
      <c r="K147" s="11">
        <f t="shared" si="17"/>
        <v>-5751000000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210</v>
      </c>
      <c r="H148" s="11">
        <f t="shared" si="15"/>
        <v>1</v>
      </c>
      <c r="I148" s="11">
        <f t="shared" si="13"/>
        <v>52759124</v>
      </c>
      <c r="J148" s="11">
        <f t="shared" si="16"/>
        <v>13691590</v>
      </c>
      <c r="K148" s="11">
        <f t="shared" si="17"/>
        <v>39067534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202</v>
      </c>
      <c r="H149" s="11">
        <f t="shared" si="15"/>
        <v>1</v>
      </c>
      <c r="I149" s="11">
        <f t="shared" si="13"/>
        <v>10532400000</v>
      </c>
      <c r="J149" s="11">
        <f t="shared" si="16"/>
        <v>0</v>
      </c>
      <c r="K149" s="11">
        <f t="shared" si="17"/>
        <v>10532400000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195</v>
      </c>
      <c r="H150" s="11">
        <f t="shared" si="15"/>
        <v>0</v>
      </c>
      <c r="I150" s="11">
        <f t="shared" si="13"/>
        <v>-10140000000</v>
      </c>
      <c r="J150" s="11">
        <f t="shared" si="16"/>
        <v>0</v>
      </c>
      <c r="K150" s="11">
        <f t="shared" si="17"/>
        <v>-10140000000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190</v>
      </c>
      <c r="H151" s="99">
        <f t="shared" si="15"/>
        <v>0</v>
      </c>
      <c r="I151" s="99">
        <f t="shared" si="13"/>
        <v>-1520000000</v>
      </c>
      <c r="J151" s="99">
        <f t="shared" si="16"/>
        <v>-1286704890</v>
      </c>
      <c r="K151" s="11">
        <f t="shared" si="17"/>
        <v>-233295110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190</v>
      </c>
      <c r="H152" s="99">
        <f t="shared" si="15"/>
        <v>0</v>
      </c>
      <c r="I152" s="99">
        <f t="shared" si="13"/>
        <v>-5933700</v>
      </c>
      <c r="J152" s="99">
        <f t="shared" si="16"/>
        <v>0</v>
      </c>
      <c r="K152" s="99">
        <f t="shared" si="17"/>
        <v>-5933700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179</v>
      </c>
      <c r="H153" s="99">
        <f t="shared" si="15"/>
        <v>1</v>
      </c>
      <c r="I153" s="99">
        <f t="shared" si="13"/>
        <v>24045486</v>
      </c>
      <c r="J153" s="99">
        <f t="shared" si="16"/>
        <v>7321140</v>
      </c>
      <c r="K153" s="99">
        <f t="shared" si="17"/>
        <v>16724346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176</v>
      </c>
      <c r="H154" s="99">
        <f t="shared" si="15"/>
        <v>1</v>
      </c>
      <c r="I154" s="99">
        <f t="shared" si="13"/>
        <v>1194214350</v>
      </c>
      <c r="J154" s="99">
        <f t="shared" si="16"/>
        <v>1194214350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171</v>
      </c>
      <c r="H155" s="99">
        <f t="shared" si="15"/>
        <v>0</v>
      </c>
      <c r="I155" s="99">
        <f t="shared" si="13"/>
        <v>-34200000</v>
      </c>
      <c r="J155" s="99">
        <f t="shared" si="16"/>
        <v>0</v>
      </c>
      <c r="K155" s="99">
        <f t="shared" si="17"/>
        <v>-34200000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171</v>
      </c>
      <c r="H156" s="99">
        <f t="shared" si="15"/>
        <v>0</v>
      </c>
      <c r="I156" s="99">
        <f t="shared" si="13"/>
        <v>-42380640</v>
      </c>
      <c r="J156" s="99">
        <f t="shared" si="16"/>
        <v>0</v>
      </c>
      <c r="K156" s="99">
        <f t="shared" si="17"/>
        <v>-42380640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170</v>
      </c>
      <c r="H157" s="99">
        <f t="shared" si="15"/>
        <v>0</v>
      </c>
      <c r="I157" s="99">
        <f t="shared" si="13"/>
        <v>-27597800</v>
      </c>
      <c r="J157" s="99">
        <f t="shared" si="16"/>
        <v>0</v>
      </c>
      <c r="K157" s="99">
        <f t="shared" si="17"/>
        <v>-27597800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170</v>
      </c>
      <c r="H158" s="99">
        <f t="shared" si="15"/>
        <v>0</v>
      </c>
      <c r="I158" s="99">
        <f t="shared" si="13"/>
        <v>-510153000</v>
      </c>
      <c r="J158" s="99">
        <f t="shared" si="16"/>
        <v>0</v>
      </c>
      <c r="K158" s="99">
        <f t="shared" si="17"/>
        <v>-510153000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168</v>
      </c>
      <c r="H159" s="99">
        <f t="shared" si="15"/>
        <v>0</v>
      </c>
      <c r="I159" s="99">
        <f t="shared" si="13"/>
        <v>-168084000</v>
      </c>
      <c r="J159" s="99">
        <f t="shared" si="16"/>
        <v>0</v>
      </c>
      <c r="K159" s="99">
        <f t="shared" si="17"/>
        <v>-168084000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164</v>
      </c>
      <c r="H160" s="99">
        <f t="shared" si="15"/>
        <v>0</v>
      </c>
      <c r="I160" s="99">
        <f t="shared" si="13"/>
        <v>-16400000</v>
      </c>
      <c r="J160" s="99">
        <f t="shared" si="16"/>
        <v>0</v>
      </c>
      <c r="K160" s="99">
        <f t="shared" si="17"/>
        <v>-16400000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163</v>
      </c>
      <c r="H161" s="99">
        <f t="shared" si="15"/>
        <v>0</v>
      </c>
      <c r="I161" s="99">
        <f t="shared" si="13"/>
        <v>-326000000</v>
      </c>
      <c r="J161" s="99">
        <f t="shared" si="16"/>
        <v>0</v>
      </c>
      <c r="K161" s="99">
        <f t="shared" si="17"/>
        <v>-326000000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163</v>
      </c>
      <c r="H162" s="99">
        <f t="shared" si="15"/>
        <v>0</v>
      </c>
      <c r="I162" s="99">
        <f t="shared" si="13"/>
        <v>-163081500</v>
      </c>
      <c r="J162" s="99">
        <f t="shared" si="16"/>
        <v>0</v>
      </c>
      <c r="K162" s="99">
        <f t="shared" si="17"/>
        <v>-163081500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160</v>
      </c>
      <c r="H163" s="99">
        <f t="shared" si="15"/>
        <v>0</v>
      </c>
      <c r="I163" s="99">
        <f t="shared" si="13"/>
        <v>-800000</v>
      </c>
      <c r="J163" s="99">
        <f t="shared" si="16"/>
        <v>0</v>
      </c>
      <c r="K163" s="99">
        <f t="shared" si="17"/>
        <v>-800000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150</v>
      </c>
      <c r="H164" s="99">
        <f t="shared" si="15"/>
        <v>1</v>
      </c>
      <c r="I164" s="99">
        <f t="shared" si="13"/>
        <v>447000000</v>
      </c>
      <c r="J164" s="99">
        <f t="shared" si="16"/>
        <v>0</v>
      </c>
      <c r="K164" s="99">
        <f t="shared" si="17"/>
        <v>447000000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149</v>
      </c>
      <c r="H165" s="99">
        <f t="shared" si="15"/>
        <v>1</v>
      </c>
      <c r="I165" s="99">
        <f t="shared" si="13"/>
        <v>444000000</v>
      </c>
      <c r="J165" s="99">
        <f t="shared" si="16"/>
        <v>0</v>
      </c>
      <c r="K165" s="99">
        <f t="shared" si="17"/>
        <v>444000000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148</v>
      </c>
      <c r="H166" s="99">
        <f t="shared" si="15"/>
        <v>1</v>
      </c>
      <c r="I166" s="99">
        <f t="shared" si="13"/>
        <v>2986158</v>
      </c>
      <c r="J166" s="99">
        <f t="shared" si="16"/>
        <v>8796774</v>
      </c>
      <c r="K166" s="99">
        <f t="shared" si="17"/>
        <v>-5810616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143</v>
      </c>
      <c r="H167" s="99">
        <f t="shared" si="15"/>
        <v>0</v>
      </c>
      <c r="I167" s="99">
        <f t="shared" si="13"/>
        <v>-429128700</v>
      </c>
      <c r="J167" s="99">
        <f t="shared" si="16"/>
        <v>0</v>
      </c>
      <c r="K167" s="99">
        <f t="shared" si="17"/>
        <v>-429128700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125</v>
      </c>
      <c r="H168" s="99">
        <f t="shared" si="15"/>
        <v>0</v>
      </c>
      <c r="I168" s="99">
        <f t="shared" si="13"/>
        <v>-375112500</v>
      </c>
      <c r="J168" s="99">
        <f t="shared" si="16"/>
        <v>0</v>
      </c>
      <c r="K168" s="99">
        <f t="shared" si="17"/>
        <v>-375112500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117</v>
      </c>
      <c r="H169" s="99">
        <f t="shared" si="15"/>
        <v>1</v>
      </c>
      <c r="I169" s="99">
        <f t="shared" si="13"/>
        <v>2517780</v>
      </c>
      <c r="J169" s="99">
        <f t="shared" si="16"/>
        <v>7947740</v>
      </c>
      <c r="K169" s="99">
        <f t="shared" si="17"/>
        <v>-5429960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93</v>
      </c>
      <c r="H170" s="99">
        <f t="shared" si="15"/>
        <v>1</v>
      </c>
      <c r="I170" s="99">
        <f t="shared" si="13"/>
        <v>460000000</v>
      </c>
      <c r="J170" s="99">
        <f t="shared" si="16"/>
        <v>0</v>
      </c>
      <c r="K170" s="99">
        <f t="shared" si="17"/>
        <v>460000000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92</v>
      </c>
      <c r="H171" s="99">
        <f t="shared" si="15"/>
        <v>0</v>
      </c>
      <c r="I171" s="99">
        <f t="shared" si="13"/>
        <v>-460000000</v>
      </c>
      <c r="J171" s="99">
        <f t="shared" si="16"/>
        <v>0</v>
      </c>
      <c r="K171" s="99">
        <f t="shared" si="17"/>
        <v>-460000000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86</v>
      </c>
      <c r="H172" s="99">
        <f t="shared" si="15"/>
        <v>1</v>
      </c>
      <c r="I172" s="99">
        <f t="shared" si="13"/>
        <v>42160</v>
      </c>
      <c r="J172" s="99">
        <f t="shared" si="16"/>
        <v>5327885</v>
      </c>
      <c r="K172" s="99">
        <f t="shared" si="17"/>
        <v>-5285725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85</v>
      </c>
      <c r="H173" s="99">
        <f t="shared" si="15"/>
        <v>1</v>
      </c>
      <c r="I173" s="99">
        <f t="shared" si="13"/>
        <v>65940000</v>
      </c>
      <c r="J173" s="99">
        <f t="shared" si="16"/>
        <v>0</v>
      </c>
      <c r="K173" s="99">
        <f t="shared" si="17"/>
        <v>65940000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74</v>
      </c>
      <c r="H174" s="99">
        <f t="shared" si="15"/>
        <v>0</v>
      </c>
      <c r="I174" s="99">
        <f t="shared" si="13"/>
        <v>-2368000</v>
      </c>
      <c r="J174" s="99">
        <f t="shared" si="16"/>
        <v>0</v>
      </c>
      <c r="K174" s="99">
        <f t="shared" si="17"/>
        <v>-2368000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72</v>
      </c>
      <c r="H175" s="99">
        <f t="shared" si="15"/>
        <v>0</v>
      </c>
      <c r="I175" s="99">
        <f t="shared" si="13"/>
        <v>-54000000</v>
      </c>
      <c r="J175" s="99">
        <f t="shared" si="16"/>
        <v>0</v>
      </c>
      <c r="K175" s="99">
        <f t="shared" si="17"/>
        <v>-54000000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63</v>
      </c>
      <c r="H176" s="99">
        <f t="shared" si="15"/>
        <v>0</v>
      </c>
      <c r="I176" s="99">
        <f t="shared" si="13"/>
        <v>-591948</v>
      </c>
      <c r="J176" s="99">
        <f t="shared" si="16"/>
        <v>0</v>
      </c>
      <c r="K176" s="99">
        <f t="shared" si="17"/>
        <v>-591948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62</v>
      </c>
      <c r="H177" s="99">
        <f t="shared" si="15"/>
        <v>0</v>
      </c>
      <c r="I177" s="99">
        <f t="shared" si="13"/>
        <v>-2684600</v>
      </c>
      <c r="J177" s="99">
        <f t="shared" si="16"/>
        <v>0</v>
      </c>
      <c r="K177" s="99">
        <f t="shared" si="17"/>
        <v>-2684600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59</v>
      </c>
      <c r="H178" s="99">
        <f t="shared" si="15"/>
        <v>1</v>
      </c>
      <c r="I178" s="99">
        <f t="shared" si="13"/>
        <v>20880000</v>
      </c>
      <c r="J178" s="99">
        <f t="shared" si="16"/>
        <v>0</v>
      </c>
      <c r="K178" s="99">
        <f t="shared" si="17"/>
        <v>20880000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57</v>
      </c>
      <c r="H179" s="99">
        <f t="shared" si="15"/>
        <v>1</v>
      </c>
      <c r="I179" s="99">
        <f t="shared" si="13"/>
        <v>168000000</v>
      </c>
      <c r="J179" s="99">
        <f t="shared" si="16"/>
        <v>0</v>
      </c>
      <c r="K179" s="99">
        <f t="shared" si="17"/>
        <v>168000000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57</v>
      </c>
      <c r="H180" s="99">
        <f t="shared" si="15"/>
        <v>0</v>
      </c>
      <c r="I180" s="99">
        <f t="shared" si="13"/>
        <v>-686850</v>
      </c>
      <c r="J180" s="99">
        <f t="shared" si="16"/>
        <v>0</v>
      </c>
      <c r="K180" s="99">
        <f t="shared" si="17"/>
        <v>-686850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55</v>
      </c>
      <c r="H181" s="99">
        <f t="shared" si="15"/>
        <v>1</v>
      </c>
      <c r="I181" s="99">
        <f t="shared" si="13"/>
        <v>162000000</v>
      </c>
      <c r="J181" s="99">
        <f t="shared" si="16"/>
        <v>0</v>
      </c>
      <c r="K181" s="99">
        <f t="shared" si="17"/>
        <v>162000000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53</v>
      </c>
      <c r="H182" s="99">
        <f t="shared" si="15"/>
        <v>0</v>
      </c>
      <c r="I182" s="99">
        <f t="shared" si="13"/>
        <v>-1897400</v>
      </c>
      <c r="J182" s="99">
        <f t="shared" si="16"/>
        <v>0</v>
      </c>
      <c r="K182" s="99">
        <f t="shared" si="17"/>
        <v>-1897400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52</v>
      </c>
      <c r="H183" s="99">
        <f t="shared" si="15"/>
        <v>1</v>
      </c>
      <c r="I183" s="99">
        <f t="shared" si="13"/>
        <v>183600000</v>
      </c>
      <c r="J183" s="99">
        <f t="shared" si="16"/>
        <v>0</v>
      </c>
      <c r="K183" s="99">
        <f t="shared" si="17"/>
        <v>183600000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52</v>
      </c>
      <c r="H184" s="99">
        <f t="shared" si="15"/>
        <v>0</v>
      </c>
      <c r="I184" s="99">
        <f t="shared" si="13"/>
        <v>-1735604</v>
      </c>
      <c r="J184" s="99">
        <f t="shared" si="16"/>
        <v>0</v>
      </c>
      <c r="K184" s="99">
        <f t="shared" si="17"/>
        <v>-1735604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49</v>
      </c>
      <c r="H185" s="99">
        <f t="shared" si="15"/>
        <v>0</v>
      </c>
      <c r="I185" s="99">
        <f t="shared" si="13"/>
        <v>-480200000</v>
      </c>
      <c r="J185" s="99">
        <f t="shared" si="16"/>
        <v>0</v>
      </c>
      <c r="K185" s="99">
        <f t="shared" si="17"/>
        <v>-480200000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49</v>
      </c>
      <c r="H186" s="99">
        <f t="shared" si="15"/>
        <v>1</v>
      </c>
      <c r="I186" s="99">
        <f t="shared" si="13"/>
        <v>864000000</v>
      </c>
      <c r="J186" s="99">
        <f t="shared" si="16"/>
        <v>0</v>
      </c>
      <c r="K186" s="99">
        <f t="shared" si="17"/>
        <v>864000000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49</v>
      </c>
      <c r="H187" s="99">
        <f t="shared" si="15"/>
        <v>0</v>
      </c>
      <c r="I187" s="99">
        <f t="shared" si="13"/>
        <v>-441000000</v>
      </c>
      <c r="J187" s="99">
        <f t="shared" si="16"/>
        <v>0</v>
      </c>
      <c r="K187" s="99">
        <f t="shared" si="17"/>
        <v>-441000000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49</v>
      </c>
      <c r="H188" s="99">
        <f t="shared" si="15"/>
        <v>0</v>
      </c>
      <c r="I188" s="99">
        <f t="shared" si="13"/>
        <v>-568400</v>
      </c>
      <c r="J188" s="99">
        <f t="shared" si="16"/>
        <v>0</v>
      </c>
      <c r="K188" s="99">
        <f t="shared" si="17"/>
        <v>-568400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49</v>
      </c>
      <c r="H189" s="99">
        <f t="shared" si="15"/>
        <v>0</v>
      </c>
      <c r="I189" s="99">
        <f t="shared" si="13"/>
        <v>-161912023</v>
      </c>
      <c r="J189" s="99">
        <f t="shared" si="16"/>
        <v>0</v>
      </c>
      <c r="K189" s="99">
        <f t="shared" si="17"/>
        <v>-161912023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48</v>
      </c>
      <c r="H190" s="99">
        <f t="shared" si="15"/>
        <v>0</v>
      </c>
      <c r="I190" s="99">
        <f t="shared" si="13"/>
        <v>-144043200</v>
      </c>
      <c r="J190" s="99">
        <f t="shared" si="16"/>
        <v>0</v>
      </c>
      <c r="K190" s="99">
        <f t="shared" si="17"/>
        <v>-144043200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47</v>
      </c>
      <c r="H191" s="99">
        <f t="shared" si="15"/>
        <v>0</v>
      </c>
      <c r="I191" s="99">
        <f t="shared" si="13"/>
        <v>-129762300</v>
      </c>
      <c r="J191" s="99">
        <f t="shared" si="16"/>
        <v>0</v>
      </c>
      <c r="K191" s="99">
        <f t="shared" si="17"/>
        <v>-129762300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42</v>
      </c>
      <c r="H192" s="99">
        <f t="shared" si="15"/>
        <v>1</v>
      </c>
      <c r="I192" s="99">
        <f t="shared" si="13"/>
        <v>41000000</v>
      </c>
      <c r="J192" s="99">
        <f t="shared" si="16"/>
        <v>0</v>
      </c>
      <c r="K192" s="99">
        <f t="shared" si="17"/>
        <v>41000000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41</v>
      </c>
      <c r="H193" s="99">
        <f t="shared" si="15"/>
        <v>0</v>
      </c>
      <c r="I193" s="99">
        <f t="shared" si="13"/>
        <v>-615000</v>
      </c>
      <c r="J193" s="99">
        <f t="shared" si="16"/>
        <v>0</v>
      </c>
      <c r="K193" s="99">
        <f t="shared" si="17"/>
        <v>-615000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39</v>
      </c>
      <c r="H194" s="99">
        <f t="shared" si="15"/>
        <v>0</v>
      </c>
      <c r="I194" s="99">
        <f t="shared" si="13"/>
        <v>-38610000</v>
      </c>
      <c r="J194" s="99">
        <f t="shared" si="16"/>
        <v>0</v>
      </c>
      <c r="K194" s="99">
        <f t="shared" si="17"/>
        <v>-38610000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39</v>
      </c>
      <c r="H195" s="99">
        <f t="shared" si="15"/>
        <v>1</v>
      </c>
      <c r="I195" s="99">
        <f t="shared" si="13"/>
        <v>29754000</v>
      </c>
      <c r="J195" s="99">
        <f t="shared" si="16"/>
        <v>0</v>
      </c>
      <c r="K195" s="99">
        <f t="shared" si="17"/>
        <v>29754000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37</v>
      </c>
      <c r="H196" s="99">
        <f t="shared" si="15"/>
        <v>0</v>
      </c>
      <c r="I196" s="99">
        <f t="shared" si="13"/>
        <v>-27768500</v>
      </c>
      <c r="J196" s="99">
        <f t="shared" si="16"/>
        <v>0</v>
      </c>
      <c r="K196" s="99">
        <f t="shared" si="17"/>
        <v>-27768500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35</v>
      </c>
      <c r="H197" s="99">
        <f t="shared" si="15"/>
        <v>1</v>
      </c>
      <c r="I197" s="99">
        <f t="shared" si="13"/>
        <v>23800000</v>
      </c>
      <c r="J197" s="99">
        <f t="shared" si="16"/>
        <v>0</v>
      </c>
      <c r="K197" s="99">
        <f t="shared" si="17"/>
        <v>23800000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35</v>
      </c>
      <c r="H198" s="99">
        <f t="shared" si="15"/>
        <v>0</v>
      </c>
      <c r="I198" s="99">
        <f t="shared" si="13"/>
        <v>-3465000</v>
      </c>
      <c r="J198" s="99">
        <f t="shared" si="16"/>
        <v>0</v>
      </c>
      <c r="K198" s="99">
        <f t="shared" si="17"/>
        <v>-3465000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34</v>
      </c>
      <c r="H199" s="99">
        <f t="shared" si="15"/>
        <v>0</v>
      </c>
      <c r="I199" s="99">
        <f t="shared" si="13"/>
        <v>-6995500</v>
      </c>
      <c r="J199" s="99">
        <f t="shared" si="16"/>
        <v>0</v>
      </c>
      <c r="K199" s="99">
        <f t="shared" si="17"/>
        <v>-6995500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34</v>
      </c>
      <c r="H200" s="99">
        <f t="shared" si="15"/>
        <v>0</v>
      </c>
      <c r="I200" s="99">
        <f t="shared" si="13"/>
        <v>-3230000</v>
      </c>
      <c r="J200" s="99">
        <f t="shared" si="16"/>
        <v>0</v>
      </c>
      <c r="K200" s="99">
        <f t="shared" si="17"/>
        <v>-3230000</v>
      </c>
    </row>
    <row r="201" spans="1:11" x14ac:dyDescent="0.25">
      <c r="A201" s="99" t="s">
        <v>4163</v>
      </c>
      <c r="B201" s="18">
        <v>48650000</v>
      </c>
      <c r="C201" s="18">
        <v>0</v>
      </c>
      <c r="D201" s="18">
        <f t="shared" si="18"/>
        <v>48650000</v>
      </c>
      <c r="E201" s="99" t="s">
        <v>4164</v>
      </c>
      <c r="F201" s="99">
        <v>0</v>
      </c>
      <c r="G201" s="36">
        <f t="shared" si="14"/>
        <v>31</v>
      </c>
      <c r="H201" s="99">
        <f t="shared" si="15"/>
        <v>1</v>
      </c>
      <c r="I201" s="99">
        <f t="shared" si="13"/>
        <v>1459500000</v>
      </c>
      <c r="J201" s="99">
        <f t="shared" si="16"/>
        <v>0</v>
      </c>
      <c r="K201" s="99">
        <f t="shared" si="17"/>
        <v>1459500000</v>
      </c>
    </row>
    <row r="202" spans="1:11" x14ac:dyDescent="0.25">
      <c r="A202" s="99" t="s">
        <v>4163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31</v>
      </c>
      <c r="H202" s="99">
        <f t="shared" si="15"/>
        <v>0</v>
      </c>
      <c r="I202" s="99">
        <f t="shared" si="13"/>
        <v>-93027900</v>
      </c>
      <c r="J202" s="99">
        <f t="shared" si="16"/>
        <v>0</v>
      </c>
      <c r="K202" s="99">
        <f t="shared" si="17"/>
        <v>-93027900</v>
      </c>
    </row>
    <row r="203" spans="1:11" x14ac:dyDescent="0.25">
      <c r="A203" s="99" t="s">
        <v>4163</v>
      </c>
      <c r="B203" s="18">
        <v>-5000</v>
      </c>
      <c r="C203" s="18">
        <v>0</v>
      </c>
      <c r="D203" s="18">
        <f t="shared" si="18"/>
        <v>-5000</v>
      </c>
      <c r="E203" s="99" t="s">
        <v>4165</v>
      </c>
      <c r="F203" s="99">
        <v>0</v>
      </c>
      <c r="G203" s="36">
        <f t="shared" si="14"/>
        <v>31</v>
      </c>
      <c r="H203" s="99">
        <f t="shared" si="15"/>
        <v>0</v>
      </c>
      <c r="I203" s="99">
        <f t="shared" si="13"/>
        <v>-155000</v>
      </c>
      <c r="J203" s="99">
        <f t="shared" si="16"/>
        <v>0</v>
      </c>
      <c r="K203" s="99">
        <f t="shared" si="17"/>
        <v>-155000</v>
      </c>
    </row>
    <row r="204" spans="1:11" x14ac:dyDescent="0.25">
      <c r="A204" s="99" t="s">
        <v>4163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31</v>
      </c>
      <c r="H204" s="99">
        <f t="shared" si="15"/>
        <v>0</v>
      </c>
      <c r="I204" s="99">
        <f t="shared" si="13"/>
        <v>-1038500000</v>
      </c>
      <c r="J204" s="99">
        <f t="shared" si="16"/>
        <v>0</v>
      </c>
      <c r="K204" s="99">
        <f t="shared" si="17"/>
        <v>-1038500000</v>
      </c>
    </row>
    <row r="205" spans="1:11" x14ac:dyDescent="0.25">
      <c r="A205" s="11" t="s">
        <v>4171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30</v>
      </c>
      <c r="H205" s="99">
        <f t="shared" si="15"/>
        <v>0</v>
      </c>
      <c r="I205" s="99">
        <f t="shared" si="13"/>
        <v>-373050000</v>
      </c>
      <c r="J205" s="99">
        <f t="shared" si="16"/>
        <v>0</v>
      </c>
      <c r="K205" s="99">
        <f t="shared" si="17"/>
        <v>-373050000</v>
      </c>
    </row>
    <row r="206" spans="1:11" x14ac:dyDescent="0.25">
      <c r="A206" s="99" t="s">
        <v>4184</v>
      </c>
      <c r="B206" s="18">
        <v>-18500</v>
      </c>
      <c r="C206" s="18">
        <v>0</v>
      </c>
      <c r="D206" s="18">
        <f t="shared" si="18"/>
        <v>-18500</v>
      </c>
      <c r="E206" s="99" t="s">
        <v>4185</v>
      </c>
      <c r="F206" s="99">
        <v>2</v>
      </c>
      <c r="G206" s="36">
        <f t="shared" si="19"/>
        <v>27</v>
      </c>
      <c r="H206" s="99">
        <f t="shared" si="15"/>
        <v>0</v>
      </c>
      <c r="I206" s="99">
        <f t="shared" si="13"/>
        <v>-499500</v>
      </c>
      <c r="J206" s="99">
        <f t="shared" si="16"/>
        <v>0</v>
      </c>
      <c r="K206" s="99">
        <f t="shared" si="17"/>
        <v>-499500</v>
      </c>
    </row>
    <row r="207" spans="1:11" x14ac:dyDescent="0.25">
      <c r="A207" s="99" t="s">
        <v>4181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25</v>
      </c>
      <c r="H207" s="99">
        <f t="shared" si="15"/>
        <v>1</v>
      </c>
      <c r="I207" s="99">
        <f t="shared" si="13"/>
        <v>347520</v>
      </c>
      <c r="J207" s="99">
        <f t="shared" ref="J207:J266" si="20">C207*(G207-H207)</f>
        <v>1700976</v>
      </c>
      <c r="K207" s="99">
        <f t="shared" si="17"/>
        <v>-1353456</v>
      </c>
    </row>
    <row r="208" spans="1:11" x14ac:dyDescent="0.25">
      <c r="A208" s="99" t="s">
        <v>4187</v>
      </c>
      <c r="B208" s="18">
        <v>830000</v>
      </c>
      <c r="C208" s="18">
        <v>0</v>
      </c>
      <c r="D208" s="18">
        <f t="shared" si="18"/>
        <v>830000</v>
      </c>
      <c r="E208" s="99" t="s">
        <v>4188</v>
      </c>
      <c r="F208" s="99">
        <v>2</v>
      </c>
      <c r="G208" s="36">
        <f t="shared" si="19"/>
        <v>24</v>
      </c>
      <c r="H208" s="99">
        <f t="shared" si="15"/>
        <v>1</v>
      </c>
      <c r="I208" s="99">
        <f t="shared" si="13"/>
        <v>19090000</v>
      </c>
      <c r="J208" s="99">
        <f t="shared" si="20"/>
        <v>0</v>
      </c>
      <c r="K208" s="99">
        <f t="shared" si="17"/>
        <v>19090000</v>
      </c>
    </row>
    <row r="209" spans="1:13" x14ac:dyDescent="0.25">
      <c r="A209" s="99" t="s">
        <v>4210</v>
      </c>
      <c r="B209" s="18">
        <v>-52440</v>
      </c>
      <c r="C209" s="18">
        <v>0</v>
      </c>
      <c r="D209" s="18">
        <f t="shared" si="18"/>
        <v>-52440</v>
      </c>
      <c r="E209" s="99" t="s">
        <v>4216</v>
      </c>
      <c r="F209" s="99">
        <v>1</v>
      </c>
      <c r="G209" s="36">
        <f t="shared" si="19"/>
        <v>22</v>
      </c>
      <c r="H209" s="99">
        <f t="shared" si="15"/>
        <v>0</v>
      </c>
      <c r="I209" s="99">
        <f t="shared" si="13"/>
        <v>-1153680</v>
      </c>
      <c r="J209" s="99">
        <f t="shared" si="20"/>
        <v>0</v>
      </c>
      <c r="K209" s="99">
        <f t="shared" si="17"/>
        <v>-1153680</v>
      </c>
    </row>
    <row r="210" spans="1:13" x14ac:dyDescent="0.25">
      <c r="A210" s="99" t="s">
        <v>4217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21</v>
      </c>
      <c r="H210" s="99">
        <f t="shared" si="15"/>
        <v>0</v>
      </c>
      <c r="I210" s="99">
        <f t="shared" si="13"/>
        <v>-1073100</v>
      </c>
      <c r="J210" s="99">
        <f t="shared" si="20"/>
        <v>0</v>
      </c>
      <c r="K210" s="99">
        <f t="shared" si="17"/>
        <v>-1073100</v>
      </c>
    </row>
    <row r="211" spans="1:13" x14ac:dyDescent="0.25">
      <c r="A211" s="99" t="s">
        <v>4219</v>
      </c>
      <c r="B211" s="18">
        <v>-200000</v>
      </c>
      <c r="C211" s="18">
        <v>0</v>
      </c>
      <c r="D211" s="18">
        <f t="shared" si="18"/>
        <v>-200000</v>
      </c>
      <c r="E211" s="99" t="s">
        <v>4220</v>
      </c>
      <c r="F211" s="99">
        <v>1</v>
      </c>
      <c r="G211" s="36">
        <f t="shared" si="19"/>
        <v>20</v>
      </c>
      <c r="H211" s="99">
        <f t="shared" si="15"/>
        <v>0</v>
      </c>
      <c r="I211" s="99">
        <f t="shared" si="13"/>
        <v>-4000000</v>
      </c>
      <c r="J211" s="99">
        <f t="shared" si="20"/>
        <v>0</v>
      </c>
      <c r="K211" s="99">
        <f t="shared" si="17"/>
        <v>-4000000</v>
      </c>
    </row>
    <row r="212" spans="1:13" x14ac:dyDescent="0.25">
      <c r="A212" s="99" t="s">
        <v>4221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19</v>
      </c>
      <c r="H212" s="99">
        <f t="shared" si="15"/>
        <v>0</v>
      </c>
      <c r="I212" s="99">
        <f t="shared" si="13"/>
        <v>-532000</v>
      </c>
      <c r="J212" s="99">
        <f t="shared" si="20"/>
        <v>0</v>
      </c>
      <c r="K212" s="99">
        <f t="shared" si="17"/>
        <v>-532000</v>
      </c>
    </row>
    <row r="213" spans="1:13" x14ac:dyDescent="0.25">
      <c r="A213" s="99" t="s">
        <v>4222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</v>
      </c>
      <c r="H213" s="99">
        <f t="shared" si="15"/>
        <v>0</v>
      </c>
      <c r="I213" s="99">
        <f t="shared" si="13"/>
        <v>-1063800</v>
      </c>
      <c r="J213" s="99">
        <f t="shared" si="20"/>
        <v>0</v>
      </c>
      <c r="K213" s="99">
        <f t="shared" si="17"/>
        <v>-1063800</v>
      </c>
    </row>
    <row r="214" spans="1:13" x14ac:dyDescent="0.25">
      <c r="A214" s="99" t="s">
        <v>4222</v>
      </c>
      <c r="B214" s="18">
        <v>-30000</v>
      </c>
      <c r="C214" s="18">
        <v>0</v>
      </c>
      <c r="D214" s="18">
        <f t="shared" si="18"/>
        <v>-30000</v>
      </c>
      <c r="E214" s="99" t="s">
        <v>4223</v>
      </c>
      <c r="F214" s="99">
        <v>0</v>
      </c>
      <c r="G214" s="36">
        <f t="shared" si="19"/>
        <v>17</v>
      </c>
      <c r="H214" s="99">
        <f t="shared" si="15"/>
        <v>0</v>
      </c>
      <c r="I214" s="99">
        <f t="shared" si="13"/>
        <v>-510000</v>
      </c>
      <c r="J214" s="99">
        <f t="shared" si="20"/>
        <v>0</v>
      </c>
      <c r="K214" s="99">
        <f t="shared" si="17"/>
        <v>-510000</v>
      </c>
    </row>
    <row r="215" spans="1:13" x14ac:dyDescent="0.25">
      <c r="A215" s="99" t="s">
        <v>4222</v>
      </c>
      <c r="B215" s="18">
        <v>-178000</v>
      </c>
      <c r="C215" s="18">
        <v>0</v>
      </c>
      <c r="D215" s="18">
        <f t="shared" si="18"/>
        <v>-178000</v>
      </c>
      <c r="E215" s="99" t="s">
        <v>4225</v>
      </c>
      <c r="F215" s="99">
        <v>1</v>
      </c>
      <c r="G215" s="36">
        <f t="shared" si="19"/>
        <v>17</v>
      </c>
      <c r="H215" s="99">
        <f t="shared" si="15"/>
        <v>0</v>
      </c>
      <c r="I215" s="99">
        <f t="shared" si="13"/>
        <v>-3026000</v>
      </c>
      <c r="J215" s="99">
        <f t="shared" si="20"/>
        <v>0</v>
      </c>
      <c r="K215" s="99">
        <f t="shared" si="17"/>
        <v>-3026000</v>
      </c>
    </row>
    <row r="216" spans="1:13" x14ac:dyDescent="0.25">
      <c r="A216" s="99" t="s">
        <v>4227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</v>
      </c>
      <c r="H216" s="99">
        <f t="shared" si="15"/>
        <v>0</v>
      </c>
      <c r="I216" s="99">
        <f t="shared" si="13"/>
        <v>-1529760</v>
      </c>
      <c r="J216" s="99">
        <f t="shared" si="20"/>
        <v>0</v>
      </c>
      <c r="K216" s="99">
        <f t="shared" si="17"/>
        <v>-1529760</v>
      </c>
    </row>
    <row r="217" spans="1:13" x14ac:dyDescent="0.25">
      <c r="A217" s="99" t="s">
        <v>4180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</v>
      </c>
      <c r="H217" s="99">
        <f t="shared" si="15"/>
        <v>0</v>
      </c>
      <c r="I217" s="99">
        <f t="shared" si="13"/>
        <v>-1092000</v>
      </c>
      <c r="J217" s="99">
        <f t="shared" si="20"/>
        <v>0</v>
      </c>
      <c r="K217" s="99">
        <f t="shared" si="17"/>
        <v>-1092000</v>
      </c>
    </row>
    <row r="218" spans="1:13" x14ac:dyDescent="0.25">
      <c r="A218" s="99" t="s">
        <v>4231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11</v>
      </c>
      <c r="H218" s="99">
        <f t="shared" si="15"/>
        <v>0</v>
      </c>
      <c r="I218" s="99">
        <f t="shared" si="13"/>
        <v>-363000</v>
      </c>
      <c r="J218" s="99">
        <f t="shared" si="20"/>
        <v>0</v>
      </c>
      <c r="K218" s="99">
        <f t="shared" si="17"/>
        <v>-363000</v>
      </c>
    </row>
    <row r="219" spans="1:13" x14ac:dyDescent="0.25">
      <c r="A219" s="99" t="s">
        <v>4236</v>
      </c>
      <c r="B219" s="18">
        <v>1548000</v>
      </c>
      <c r="C219" s="18">
        <v>0</v>
      </c>
      <c r="D219" s="18">
        <f t="shared" si="18"/>
        <v>1548000</v>
      </c>
      <c r="E219" s="99" t="s">
        <v>4266</v>
      </c>
      <c r="F219" s="99">
        <v>1</v>
      </c>
      <c r="G219" s="36">
        <f t="shared" si="21"/>
        <v>8</v>
      </c>
      <c r="H219" s="99">
        <f t="shared" si="15"/>
        <v>1</v>
      </c>
      <c r="I219" s="99">
        <f t="shared" si="13"/>
        <v>10836000</v>
      </c>
      <c r="J219" s="99">
        <f t="shared" si="20"/>
        <v>0</v>
      </c>
      <c r="K219" s="99">
        <f t="shared" si="17"/>
        <v>10836000</v>
      </c>
    </row>
    <row r="220" spans="1:13" x14ac:dyDescent="0.25">
      <c r="A220" s="99" t="s">
        <v>4267</v>
      </c>
      <c r="B220" s="18">
        <v>-1400700</v>
      </c>
      <c r="C220" s="18">
        <v>0</v>
      </c>
      <c r="D220" s="18">
        <f t="shared" si="18"/>
        <v>-1400700</v>
      </c>
      <c r="E220" s="99" t="s">
        <v>4268</v>
      </c>
      <c r="F220" s="99">
        <v>0</v>
      </c>
      <c r="G220" s="36">
        <f t="shared" si="21"/>
        <v>7</v>
      </c>
      <c r="H220" s="99">
        <f t="shared" si="15"/>
        <v>0</v>
      </c>
      <c r="I220" s="99">
        <f t="shared" si="13"/>
        <v>-9804900</v>
      </c>
      <c r="J220" s="99">
        <f t="shared" si="20"/>
        <v>0</v>
      </c>
      <c r="K220" s="99">
        <f t="shared" si="17"/>
        <v>-9804900</v>
      </c>
    </row>
    <row r="221" spans="1:13" x14ac:dyDescent="0.25">
      <c r="A221" s="99" t="s">
        <v>4267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7</v>
      </c>
      <c r="H221" s="99">
        <f t="shared" si="15"/>
        <v>0</v>
      </c>
      <c r="I221" s="99">
        <f t="shared" si="13"/>
        <v>-70000</v>
      </c>
      <c r="J221" s="99">
        <f t="shared" si="20"/>
        <v>0</v>
      </c>
      <c r="K221" s="99">
        <f t="shared" si="17"/>
        <v>-70000</v>
      </c>
    </row>
    <row r="222" spans="1:13" x14ac:dyDescent="0.25">
      <c r="A222" s="99" t="s">
        <v>4267</v>
      </c>
      <c r="B222" s="18">
        <v>-5000</v>
      </c>
      <c r="C222" s="18">
        <v>-2500</v>
      </c>
      <c r="D222" s="18">
        <f t="shared" si="18"/>
        <v>-2500</v>
      </c>
      <c r="E222" s="99" t="s">
        <v>4282</v>
      </c>
      <c r="F222" s="99">
        <v>6</v>
      </c>
      <c r="G222" s="36">
        <f t="shared" si="21"/>
        <v>7</v>
      </c>
      <c r="H222" s="99">
        <f t="shared" si="15"/>
        <v>0</v>
      </c>
      <c r="I222" s="99">
        <f t="shared" si="13"/>
        <v>-35000</v>
      </c>
      <c r="J222" s="99">
        <f t="shared" si="20"/>
        <v>-17500</v>
      </c>
      <c r="K222" s="99">
        <f t="shared" si="17"/>
        <v>-17500</v>
      </c>
    </row>
    <row r="223" spans="1:13" x14ac:dyDescent="0.25">
      <c r="A223" s="99" t="s">
        <v>4295</v>
      </c>
      <c r="B223" s="18">
        <v>-190000</v>
      </c>
      <c r="C223" s="18">
        <v>0</v>
      </c>
      <c r="D223" s="18">
        <f t="shared" si="18"/>
        <v>-190000</v>
      </c>
      <c r="E223" s="99" t="s">
        <v>4296</v>
      </c>
      <c r="F223" s="99">
        <v>1</v>
      </c>
      <c r="G223" s="36">
        <f t="shared" si="21"/>
        <v>1</v>
      </c>
      <c r="H223" s="99">
        <f t="shared" si="15"/>
        <v>0</v>
      </c>
      <c r="I223" s="99">
        <f t="shared" si="13"/>
        <v>-190000</v>
      </c>
      <c r="J223" s="99">
        <f t="shared" si="20"/>
        <v>0</v>
      </c>
      <c r="K223" s="99">
        <f t="shared" si="17"/>
        <v>-190000</v>
      </c>
      <c r="M223" t="s">
        <v>25</v>
      </c>
    </row>
    <row r="224" spans="1:13" x14ac:dyDescent="0.25">
      <c r="A224" s="99"/>
      <c r="B224" s="18"/>
      <c r="C224" s="18"/>
      <c r="D224" s="18">
        <f t="shared" si="18"/>
        <v>0</v>
      </c>
      <c r="E224" s="99"/>
      <c r="F224" s="99"/>
      <c r="G224" s="36">
        <f t="shared" si="21"/>
        <v>0</v>
      </c>
      <c r="H224" s="99">
        <f t="shared" si="15"/>
        <v>0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6867</v>
      </c>
      <c r="C267" s="29">
        <f>SUM(C2:C256)</f>
        <v>7903817</v>
      </c>
      <c r="D267" s="29">
        <f>SUM(D2:D254)</f>
        <v>-7896950</v>
      </c>
      <c r="E267" s="11"/>
      <c r="F267" s="11"/>
      <c r="G267" s="11"/>
      <c r="H267" s="11"/>
      <c r="I267" s="29">
        <f>SUM(I2:I266)</f>
        <v>18781426282</v>
      </c>
      <c r="J267" s="29">
        <f>SUM(J2:J266)</f>
        <v>8249856838</v>
      </c>
      <c r="K267" s="29">
        <f>SUM(K2:K266)</f>
        <v>10531569444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20436807.706202395</v>
      </c>
      <c r="J270" s="29">
        <f>J267/G2</f>
        <v>8976993.2948857453</v>
      </c>
      <c r="K270" s="29">
        <f>K267/G2</f>
        <v>11459814.411316648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-6700311</v>
      </c>
      <c r="G274" t="s">
        <v>25</v>
      </c>
      <c r="J274">
        <f>J267/I267*1448696</f>
        <v>636348.61497380119</v>
      </c>
      <c r="K274">
        <f>K267/I267*1448696</f>
        <v>812347.38502619893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4163</v>
      </c>
      <c r="B23" s="18">
        <v>48650000</v>
      </c>
      <c r="C23" s="18">
        <v>0</v>
      </c>
      <c r="D23" s="113">
        <f t="shared" si="0"/>
        <v>48650000</v>
      </c>
      <c r="E23" s="19" t="s">
        <v>4164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4163</v>
      </c>
      <c r="B24" s="18">
        <v>-3005900</v>
      </c>
      <c r="C24" s="18">
        <v>0</v>
      </c>
      <c r="D24" s="113">
        <f t="shared" si="0"/>
        <v>-3005900</v>
      </c>
      <c r="E24" s="19" t="s">
        <v>4166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4171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4171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4184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4185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4181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4173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4174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4175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4176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4178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4182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4183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4186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4280</v>
      </c>
      <c r="B72" s="113">
        <v>-5000</v>
      </c>
      <c r="C72" s="99" t="s">
        <v>4281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23.5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77951.432965158223</v>
      </c>
      <c r="C2" s="86">
        <f t="shared" ref="C2:C20" si="0">$S2/(1+($C$1-$O2+$P2)/36500)^$N2</f>
        <v>80044.015678394426</v>
      </c>
      <c r="D2" s="86">
        <f>$S2/(1+($D$1-$O2+$P2)/36500)^$N2</f>
        <v>80469.243020378824</v>
      </c>
      <c r="E2" s="86">
        <f>$S2/(1+($E$1-$O2+$P2)/36500)^$N2</f>
        <v>80896.735216376823</v>
      </c>
      <c r="F2" s="86">
        <f>$S2/(1+($F$1-$O2+$P2)/36500)^$N2</f>
        <v>81326.5043607634</v>
      </c>
      <c r="G2" s="86">
        <f>$S2/(1+($G$1-$O2+$P2)/36500)^$N2</f>
        <v>81758.562612644237</v>
      </c>
      <c r="H2" s="86">
        <f>$S2/(1+($H$1-$O2+$P2)/36500)^$N2</f>
        <v>82192.922196244093</v>
      </c>
      <c r="I2" s="86">
        <f>$S2/(1+($I$1-$O2+$P2)/36500)^$N2</f>
        <v>82629.595401219543</v>
      </c>
      <c r="J2" s="86">
        <f>$S2/(1+($J$1-$O2+$P2)/36500)^$N2</f>
        <v>83068.594583033439</v>
      </c>
      <c r="K2" s="86">
        <f>$S2/(1+($K$1-$O2+$P2)/36500)^$N2</f>
        <v>83509.932163313657</v>
      </c>
      <c r="L2" s="86">
        <f t="shared" ref="L2:L37" si="1">$S2/(1+($AC$5-$O2+$P2)/36500)^$N2</f>
        <v>80896.735216376823</v>
      </c>
      <c r="M2" s="148" t="s">
        <v>993</v>
      </c>
      <c r="N2" s="148">
        <f>601-$AD$19</f>
        <v>387</v>
      </c>
      <c r="O2" s="148">
        <v>0</v>
      </c>
      <c r="P2" s="148">
        <v>0</v>
      </c>
      <c r="Q2" s="148">
        <v>0</v>
      </c>
      <c r="R2" s="148">
        <f t="shared" ref="R2:R37" si="2">N2/30.5</f>
        <v>12.688524590163935</v>
      </c>
      <c r="S2" s="86">
        <v>100000</v>
      </c>
      <c r="T2" s="86">
        <v>73200</v>
      </c>
      <c r="U2" s="86">
        <f t="shared" ref="U2:U37" si="3">B2*(1+$AC$2/36500)^N2</f>
        <v>101602.05244451526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1" t="s">
        <v>4248</v>
      </c>
      <c r="B3" s="192">
        <f>$S3/(1+($B$1-$O3+$P3)/36500)^$N3</f>
        <v>96335.774146293363</v>
      </c>
      <c r="C3" s="192">
        <f t="shared" si="0"/>
        <v>96719.005001701662</v>
      </c>
      <c r="D3" s="192">
        <f t="shared" ref="D3:D37" si="5">$S3/(1+($D$1-$O3+$P3)/36500)^$N3</f>
        <v>96795.837078337267</v>
      </c>
      <c r="E3" s="192">
        <f t="shared" ref="E3:E37" si="6">$S3/(1+($E$1-$O3+$P3)/36500)^$N3</f>
        <v>96872.731242345588</v>
      </c>
      <c r="F3" s="192">
        <f t="shared" ref="F3:F37" si="7">$S3/(1+($F$1-$O3+$P3)/36500)^$N3</f>
        <v>96949.687544751738</v>
      </c>
      <c r="G3" s="192">
        <f t="shared" ref="G3:G37" si="8">$S3/(1+($G$1-$O3+$P3)/36500)^$N3</f>
        <v>97026.706036619828</v>
      </c>
      <c r="H3" s="192">
        <f t="shared" ref="H3:H37" si="9">$S3/(1+($H$1-$O3+$P3)/36500)^$N3</f>
        <v>97103.786769060243</v>
      </c>
      <c r="I3" s="192">
        <f t="shared" ref="I3:I37" si="10">$S3/(1+($I$1-$O3+$P3)/36500)^$N3</f>
        <v>97180.929793223215</v>
      </c>
      <c r="J3" s="192">
        <f t="shared" ref="J3:J37" si="11">$S3/(1+($J$1-$O3+$P3)/36500)^$N3</f>
        <v>97258.135160302991</v>
      </c>
      <c r="K3" s="192">
        <f t="shared" ref="K3:K37" si="12">$S3/(1+($K$1-$O3+$P3)/36500)^$N3</f>
        <v>97335.402921538684</v>
      </c>
      <c r="L3" s="192">
        <f t="shared" si="1"/>
        <v>96872.731242345588</v>
      </c>
      <c r="M3" s="191" t="s">
        <v>4257</v>
      </c>
      <c r="N3" s="191">
        <f>272-$AD$19</f>
        <v>58</v>
      </c>
      <c r="O3" s="191">
        <v>0</v>
      </c>
      <c r="P3" s="191">
        <v>0</v>
      </c>
      <c r="Q3" s="191">
        <v>0</v>
      </c>
      <c r="R3" s="191"/>
      <c r="S3" s="192">
        <v>100000</v>
      </c>
      <c r="T3" s="192"/>
      <c r="U3" s="192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79368.977068099484</v>
      </c>
      <c r="C4" s="88">
        <f t="shared" si="0"/>
        <v>81343.557517258683</v>
      </c>
      <c r="D4" s="88">
        <f t="shared" si="5"/>
        <v>81744.346381373209</v>
      </c>
      <c r="E4" s="88">
        <f t="shared" si="6"/>
        <v>82147.115505143156</v>
      </c>
      <c r="F4" s="88">
        <f t="shared" si="7"/>
        <v>82551.874700165383</v>
      </c>
      <c r="G4" s="88">
        <f t="shared" si="8"/>
        <v>82958.633826766396</v>
      </c>
      <c r="H4" s="88">
        <f t="shared" si="9"/>
        <v>83367.402794283596</v>
      </c>
      <c r="I4" s="88">
        <f t="shared" si="10"/>
        <v>83778.191561274871</v>
      </c>
      <c r="J4" s="88">
        <f t="shared" si="11"/>
        <v>84191.01013578572</v>
      </c>
      <c r="K4" s="88">
        <f t="shared" si="12"/>
        <v>84605.868575600893</v>
      </c>
      <c r="L4" s="88">
        <f t="shared" si="1"/>
        <v>82147.115505143156</v>
      </c>
      <c r="M4" s="87" t="s">
        <v>994</v>
      </c>
      <c r="N4" s="87">
        <f>573-$AD$19</f>
        <v>359</v>
      </c>
      <c r="O4" s="87">
        <v>0</v>
      </c>
      <c r="P4" s="87">
        <v>0</v>
      </c>
      <c r="Q4" s="87">
        <v>0</v>
      </c>
      <c r="R4" s="87">
        <f t="shared" si="2"/>
        <v>11.770491803278688</v>
      </c>
      <c r="S4" s="88">
        <v>100000</v>
      </c>
      <c r="T4" s="88">
        <v>73600</v>
      </c>
      <c r="U4" s="88">
        <f t="shared" si="3"/>
        <v>101485.28526592675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95471.611171736382</v>
      </c>
      <c r="C5" s="57">
        <f t="shared" si="0"/>
        <v>95943.304661611328</v>
      </c>
      <c r="D5" s="57">
        <f t="shared" si="5"/>
        <v>96037.926537718886</v>
      </c>
      <c r="E5" s="57">
        <f t="shared" si="6"/>
        <v>96132.643029861196</v>
      </c>
      <c r="F5" s="57">
        <f t="shared" si="7"/>
        <v>96227.454233947923</v>
      </c>
      <c r="G5" s="57">
        <f t="shared" si="8"/>
        <v>96322.360245982782</v>
      </c>
      <c r="H5" s="57">
        <f t="shared" si="9"/>
        <v>96417.361162072601</v>
      </c>
      <c r="I5" s="57">
        <f t="shared" si="10"/>
        <v>96512.457078419422</v>
      </c>
      <c r="J5" s="57">
        <f t="shared" si="11"/>
        <v>96607.648091325653</v>
      </c>
      <c r="K5" s="57">
        <f t="shared" si="12"/>
        <v>96702.934297195272</v>
      </c>
      <c r="L5" s="57">
        <f t="shared" si="1"/>
        <v>96132.643029861196</v>
      </c>
      <c r="M5" s="12" t="s">
        <v>996</v>
      </c>
      <c r="N5" s="12">
        <f>286-$AD$19</f>
        <v>72</v>
      </c>
      <c r="O5" s="12">
        <v>0</v>
      </c>
      <c r="P5" s="12">
        <v>0</v>
      </c>
      <c r="Q5" s="12">
        <v>0</v>
      </c>
      <c r="R5" s="12">
        <f t="shared" si="2"/>
        <v>2.360655737704918</v>
      </c>
      <c r="S5" s="57">
        <v>100000</v>
      </c>
      <c r="T5" s="57">
        <v>86700</v>
      </c>
      <c r="U5" s="57">
        <f t="shared" si="3"/>
        <v>100296.13156259486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84863.57210380779</v>
      </c>
      <c r="C6" s="86">
        <f t="shared" si="0"/>
        <v>86357.879051183947</v>
      </c>
      <c r="D6" s="86">
        <f t="shared" si="5"/>
        <v>86659.895628971644</v>
      </c>
      <c r="E6" s="86">
        <f t="shared" si="6"/>
        <v>86962.972596054591</v>
      </c>
      <c r="F6" s="86">
        <f t="shared" si="7"/>
        <v>87267.113690092825</v>
      </c>
      <c r="G6" s="86">
        <f t="shared" si="8"/>
        <v>87572.322661957805</v>
      </c>
      <c r="H6" s="86">
        <f t="shared" si="9"/>
        <v>87878.603275808491</v>
      </c>
      <c r="I6" s="86">
        <f t="shared" si="10"/>
        <v>88185.959309112281</v>
      </c>
      <c r="J6" s="86">
        <f t="shared" si="11"/>
        <v>88494.394552708851</v>
      </c>
      <c r="K6" s="86">
        <f t="shared" si="12"/>
        <v>88803.91281086141</v>
      </c>
      <c r="L6" s="86">
        <f t="shared" si="1"/>
        <v>86962.972596054591</v>
      </c>
      <c r="M6" s="148" t="s">
        <v>995</v>
      </c>
      <c r="N6" s="148">
        <f>469-$AD$19</f>
        <v>255</v>
      </c>
      <c r="O6" s="148">
        <v>0</v>
      </c>
      <c r="P6" s="148">
        <v>0</v>
      </c>
      <c r="Q6" s="148">
        <v>0</v>
      </c>
      <c r="R6" s="148">
        <f t="shared" si="2"/>
        <v>8.3606557377049189</v>
      </c>
      <c r="S6" s="86">
        <v>100000</v>
      </c>
      <c r="T6" s="86">
        <v>78300</v>
      </c>
      <c r="U6" s="86">
        <f t="shared" si="3"/>
        <v>101052.75227991045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1" t="s">
        <v>986</v>
      </c>
      <c r="B7" s="192">
        <f t="shared" si="14"/>
        <v>84863.57210380779</v>
      </c>
      <c r="C7" s="192">
        <f t="shared" si="0"/>
        <v>86357.879051183947</v>
      </c>
      <c r="D7" s="192">
        <f t="shared" si="5"/>
        <v>86659.895628971644</v>
      </c>
      <c r="E7" s="192">
        <f t="shared" si="6"/>
        <v>86962.972596054591</v>
      </c>
      <c r="F7" s="192">
        <f t="shared" si="7"/>
        <v>87267.113690092825</v>
      </c>
      <c r="G7" s="192">
        <f t="shared" si="8"/>
        <v>87572.322661957805</v>
      </c>
      <c r="H7" s="192">
        <f t="shared" si="9"/>
        <v>87878.603275808491</v>
      </c>
      <c r="I7" s="192">
        <f t="shared" si="10"/>
        <v>88185.959309112281</v>
      </c>
      <c r="J7" s="192">
        <f t="shared" si="11"/>
        <v>88494.394552708851</v>
      </c>
      <c r="K7" s="192">
        <f t="shared" si="12"/>
        <v>88803.91281086141</v>
      </c>
      <c r="L7" s="192">
        <f t="shared" si="1"/>
        <v>86962.972596054591</v>
      </c>
      <c r="M7" s="191" t="s">
        <v>995</v>
      </c>
      <c r="N7" s="191">
        <f>469-$AD$19</f>
        <v>255</v>
      </c>
      <c r="O7" s="191">
        <v>0</v>
      </c>
      <c r="P7" s="191">
        <v>0</v>
      </c>
      <c r="Q7" s="191">
        <v>0</v>
      </c>
      <c r="R7" s="191">
        <f t="shared" si="2"/>
        <v>8.3606557377049189</v>
      </c>
      <c r="S7" s="192">
        <v>100000</v>
      </c>
      <c r="T7" s="192">
        <v>77700</v>
      </c>
      <c r="U7" s="192">
        <f t="shared" si="3"/>
        <v>101052.75227991045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76904.914424465911</v>
      </c>
      <c r="C8" s="88">
        <f t="shared" si="0"/>
        <v>79083.00222121882</v>
      </c>
      <c r="D8" s="88">
        <f t="shared" si="5"/>
        <v>79525.985310644028</v>
      </c>
      <c r="E8" s="88">
        <f t="shared" si="6"/>
        <v>79971.455883811825</v>
      </c>
      <c r="F8" s="88">
        <f t="shared" si="7"/>
        <v>80419.427943048009</v>
      </c>
      <c r="G8" s="88">
        <f t="shared" si="8"/>
        <v>80869.915569670979</v>
      </c>
      <c r="H8" s="88">
        <f t="shared" si="9"/>
        <v>81322.932924481283</v>
      </c>
      <c r="I8" s="88">
        <f t="shared" si="10"/>
        <v>81778.494248172981</v>
      </c>
      <c r="J8" s="88">
        <f t="shared" si="11"/>
        <v>82236.613861809601</v>
      </c>
      <c r="K8" s="88">
        <f t="shared" si="12"/>
        <v>82697.306167284711</v>
      </c>
      <c r="L8" s="88">
        <f t="shared" si="1"/>
        <v>79971.455883811825</v>
      </c>
      <c r="M8" s="87" t="s">
        <v>999</v>
      </c>
      <c r="N8" s="87">
        <f>622-$AD$19</f>
        <v>408</v>
      </c>
      <c r="O8" s="87">
        <v>0</v>
      </c>
      <c r="P8" s="87">
        <v>0</v>
      </c>
      <c r="Q8" s="87">
        <v>0</v>
      </c>
      <c r="R8" s="87">
        <f t="shared" si="2"/>
        <v>13.377049180327869</v>
      </c>
      <c r="S8" s="88">
        <v>100000</v>
      </c>
      <c r="T8" s="88">
        <v>71800</v>
      </c>
      <c r="U8" s="90">
        <f t="shared" si="3"/>
        <v>101689.71598736112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4249</v>
      </c>
      <c r="B9" s="86">
        <f t="shared" si="14"/>
        <v>97145.213558820076</v>
      </c>
      <c r="C9" s="86">
        <f t="shared" si="0"/>
        <v>97444.912672376173</v>
      </c>
      <c r="D9" s="86">
        <f t="shared" si="5"/>
        <v>97504.965821989594</v>
      </c>
      <c r="E9" s="86">
        <f t="shared" si="6"/>
        <v>97565.056803983272</v>
      </c>
      <c r="F9" s="86">
        <f t="shared" si="7"/>
        <v>97625.185642710756</v>
      </c>
      <c r="G9" s="86">
        <f t="shared" si="8"/>
        <v>97685.352362538673</v>
      </c>
      <c r="H9" s="86">
        <f t="shared" si="9"/>
        <v>97745.556987852586</v>
      </c>
      <c r="I9" s="86">
        <f t="shared" si="10"/>
        <v>97805.799543051849</v>
      </c>
      <c r="J9" s="86">
        <f t="shared" si="11"/>
        <v>97866.08005255273</v>
      </c>
      <c r="K9" s="86">
        <f t="shared" si="12"/>
        <v>97926.398540789363</v>
      </c>
      <c r="L9" s="86">
        <f t="shared" si="1"/>
        <v>97565.056803983272</v>
      </c>
      <c r="M9" s="148" t="s">
        <v>4258</v>
      </c>
      <c r="N9" s="148">
        <f>259-$AD$19</f>
        <v>45</v>
      </c>
      <c r="O9" s="148">
        <v>0</v>
      </c>
      <c r="P9" s="148">
        <v>0</v>
      </c>
      <c r="Q9" s="148">
        <v>0</v>
      </c>
      <c r="R9" s="148">
        <f t="shared" si="2"/>
        <v>1.4754098360655739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1" t="s">
        <v>988</v>
      </c>
      <c r="B10" s="192">
        <f t="shared" si="14"/>
        <v>73848.905570332703</v>
      </c>
      <c r="C10" s="192">
        <f t="shared" si="0"/>
        <v>76268.63733557536</v>
      </c>
      <c r="D10" s="192">
        <f t="shared" si="5"/>
        <v>76762.036276694562</v>
      </c>
      <c r="E10" s="192">
        <f t="shared" si="6"/>
        <v>77258.633947138325</v>
      </c>
      <c r="F10" s="192">
        <f t="shared" si="7"/>
        <v>77758.451128656394</v>
      </c>
      <c r="G10" s="192">
        <f t="shared" si="8"/>
        <v>78261.508738278426</v>
      </c>
      <c r="H10" s="192">
        <f t="shared" si="9"/>
        <v>78767.827829244343</v>
      </c>
      <c r="I10" s="192">
        <f t="shared" si="10"/>
        <v>79277.429591850101</v>
      </c>
      <c r="J10" s="192">
        <f t="shared" si="11"/>
        <v>79790.335354369105</v>
      </c>
      <c r="K10" s="192">
        <f t="shared" si="12"/>
        <v>80306.566583958818</v>
      </c>
      <c r="L10" s="192">
        <f t="shared" si="1"/>
        <v>77258.633947138325</v>
      </c>
      <c r="M10" s="191" t="s">
        <v>1000</v>
      </c>
      <c r="N10" s="191">
        <f>685-$AD$19</f>
        <v>471</v>
      </c>
      <c r="O10" s="191">
        <v>0</v>
      </c>
      <c r="P10" s="191">
        <v>0</v>
      </c>
      <c r="Q10" s="191">
        <v>0</v>
      </c>
      <c r="R10" s="191">
        <f t="shared" si="2"/>
        <v>15.442622950819672</v>
      </c>
      <c r="S10" s="192">
        <v>100000</v>
      </c>
      <c r="T10" s="192">
        <v>70000</v>
      </c>
      <c r="U10" s="192">
        <f t="shared" si="3"/>
        <v>101953.16070031514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75191.845354989171</v>
      </c>
      <c r="C11" s="88">
        <f t="shared" si="0"/>
        <v>77506.884622030513</v>
      </c>
      <c r="D11" s="88">
        <f t="shared" si="5"/>
        <v>77978.395804625019</v>
      </c>
      <c r="E11" s="88">
        <f t="shared" si="6"/>
        <v>78452.781928093711</v>
      </c>
      <c r="F11" s="88">
        <f t="shared" si="7"/>
        <v>78930.060561520033</v>
      </c>
      <c r="G11" s="88">
        <f t="shared" si="8"/>
        <v>79410.249381574104</v>
      </c>
      <c r="H11" s="88">
        <f t="shared" si="9"/>
        <v>79893.366173218543</v>
      </c>
      <c r="I11" s="88">
        <f t="shared" si="10"/>
        <v>80379.428830332501</v>
      </c>
      <c r="J11" s="88">
        <f t="shared" si="11"/>
        <v>80868.45535640599</v>
      </c>
      <c r="K11" s="88">
        <f t="shared" si="12"/>
        <v>81360.463865218873</v>
      </c>
      <c r="L11" s="88">
        <f t="shared" si="1"/>
        <v>78452.781928093711</v>
      </c>
      <c r="M11" s="87" t="s">
        <v>1001</v>
      </c>
      <c r="N11" s="87">
        <f>657-$AD$19</f>
        <v>443</v>
      </c>
      <c r="O11" s="87">
        <v>0</v>
      </c>
      <c r="P11" s="87">
        <v>0</v>
      </c>
      <c r="Q11" s="87">
        <v>0</v>
      </c>
      <c r="R11" s="87">
        <f t="shared" si="2"/>
        <v>14.524590163934427</v>
      </c>
      <c r="S11" s="88">
        <v>100000</v>
      </c>
      <c r="T11" s="88">
        <v>70700</v>
      </c>
      <c r="U11" s="88">
        <f t="shared" si="3"/>
        <v>101835.99000703949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75191.845354989171</v>
      </c>
      <c r="C12" s="86">
        <f t="shared" si="0"/>
        <v>77506.884622030513</v>
      </c>
      <c r="D12" s="86">
        <f t="shared" si="5"/>
        <v>77978.395804625019</v>
      </c>
      <c r="E12" s="86">
        <f t="shared" si="6"/>
        <v>78452.781928093711</v>
      </c>
      <c r="F12" s="86">
        <f t="shared" si="7"/>
        <v>78930.060561520033</v>
      </c>
      <c r="G12" s="86">
        <f t="shared" si="8"/>
        <v>79410.249381574104</v>
      </c>
      <c r="H12" s="86">
        <f t="shared" si="9"/>
        <v>79893.366173218543</v>
      </c>
      <c r="I12" s="86">
        <f t="shared" si="10"/>
        <v>80379.428830332501</v>
      </c>
      <c r="J12" s="86">
        <f t="shared" si="11"/>
        <v>80868.45535640599</v>
      </c>
      <c r="K12" s="86">
        <f t="shared" si="12"/>
        <v>81360.463865218873</v>
      </c>
      <c r="L12" s="86">
        <f t="shared" si="1"/>
        <v>78452.781928093711</v>
      </c>
      <c r="M12" s="148" t="s">
        <v>1001</v>
      </c>
      <c r="N12" s="148">
        <f>657-$AD$19</f>
        <v>443</v>
      </c>
      <c r="O12" s="148">
        <v>0</v>
      </c>
      <c r="P12" s="148">
        <v>0</v>
      </c>
      <c r="Q12" s="148">
        <v>0</v>
      </c>
      <c r="R12" s="148">
        <f t="shared" si="2"/>
        <v>14.524590163934427</v>
      </c>
      <c r="S12" s="86">
        <v>100000</v>
      </c>
      <c r="T12" s="86">
        <v>71000</v>
      </c>
      <c r="U12" s="86">
        <f t="shared" si="3"/>
        <v>101835.99000703949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1" t="s">
        <v>991</v>
      </c>
      <c r="B13" s="192">
        <f t="shared" si="14"/>
        <v>77951.432965158223</v>
      </c>
      <c r="C13" s="192">
        <f t="shared" si="0"/>
        <v>80044.015678394426</v>
      </c>
      <c r="D13" s="192">
        <f t="shared" si="5"/>
        <v>80469.243020378824</v>
      </c>
      <c r="E13" s="192">
        <f t="shared" si="6"/>
        <v>80896.735216376823</v>
      </c>
      <c r="F13" s="192">
        <f t="shared" si="7"/>
        <v>81326.5043607634</v>
      </c>
      <c r="G13" s="192">
        <f t="shared" si="8"/>
        <v>81758.562612644237</v>
      </c>
      <c r="H13" s="192">
        <f t="shared" si="9"/>
        <v>82192.922196244093</v>
      </c>
      <c r="I13" s="192">
        <f t="shared" si="10"/>
        <v>82629.595401219543</v>
      </c>
      <c r="J13" s="192">
        <f t="shared" si="11"/>
        <v>83068.594583033439</v>
      </c>
      <c r="K13" s="192">
        <f t="shared" si="12"/>
        <v>83509.932163313657</v>
      </c>
      <c r="L13" s="192">
        <f t="shared" si="1"/>
        <v>80896.735216376823</v>
      </c>
      <c r="M13" s="191" t="s">
        <v>993</v>
      </c>
      <c r="N13" s="191">
        <f>601-$AD$19</f>
        <v>387</v>
      </c>
      <c r="O13" s="191">
        <v>0</v>
      </c>
      <c r="P13" s="191">
        <v>0</v>
      </c>
      <c r="Q13" s="191">
        <v>0</v>
      </c>
      <c r="R13" s="191">
        <f t="shared" si="2"/>
        <v>12.688524590163935</v>
      </c>
      <c r="S13" s="192">
        <v>100000</v>
      </c>
      <c r="T13" s="192">
        <v>73100</v>
      </c>
      <c r="U13" s="192">
        <f t="shared" si="3"/>
        <v>101602.05244451526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82547.089300865948</v>
      </c>
      <c r="C14" s="88">
        <f t="shared" si="0"/>
        <v>84248.219384556345</v>
      </c>
      <c r="D14" s="88">
        <f t="shared" si="5"/>
        <v>84592.643495147582</v>
      </c>
      <c r="E14" s="88">
        <f t="shared" si="6"/>
        <v>84938.480427057497</v>
      </c>
      <c r="F14" s="88">
        <f t="shared" si="7"/>
        <v>85285.73599512309</v>
      </c>
      <c r="G14" s="88">
        <f t="shared" si="8"/>
        <v>85634.416038177354</v>
      </c>
      <c r="H14" s="88">
        <f t="shared" si="9"/>
        <v>85984.526419181857</v>
      </c>
      <c r="I14" s="88">
        <f t="shared" si="10"/>
        <v>86336.073025296966</v>
      </c>
      <c r="J14" s="88">
        <f t="shared" si="11"/>
        <v>86689.061768000945</v>
      </c>
      <c r="K14" s="88">
        <f t="shared" si="12"/>
        <v>87043.498583194974</v>
      </c>
      <c r="L14" s="88">
        <f t="shared" si="1"/>
        <v>84938.480427057497</v>
      </c>
      <c r="M14" s="87" t="s">
        <v>3857</v>
      </c>
      <c r="N14" s="87">
        <f>512-$AD$19</f>
        <v>298</v>
      </c>
      <c r="O14" s="87">
        <v>0</v>
      </c>
      <c r="P14" s="87">
        <v>0</v>
      </c>
      <c r="Q14" s="87">
        <v>0</v>
      </c>
      <c r="R14" s="87">
        <f t="shared" si="2"/>
        <v>9.7704918032786878</v>
      </c>
      <c r="S14" s="88">
        <v>100000</v>
      </c>
      <c r="T14" s="88">
        <v>50000</v>
      </c>
      <c r="U14" s="88">
        <f>B14*(1+$AC$2/36500)^N14</f>
        <v>101231.36405310976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65054.565432132942</v>
      </c>
      <c r="C15" s="57">
        <f t="shared" si="0"/>
        <v>68098.278702395124</v>
      </c>
      <c r="D15" s="57">
        <f t="shared" si="5"/>
        <v>68723.927110853387</v>
      </c>
      <c r="E15" s="57">
        <f t="shared" si="6"/>
        <v>69355.332306525437</v>
      </c>
      <c r="F15" s="57">
        <f t="shared" si="7"/>
        <v>69992.547339337209</v>
      </c>
      <c r="G15" s="57">
        <f t="shared" si="8"/>
        <v>70635.625748785984</v>
      </c>
      <c r="H15" s="57">
        <f t="shared" si="9"/>
        <v>71284.621568526505</v>
      </c>
      <c r="I15" s="57">
        <f t="shared" si="10"/>
        <v>71939.589330883551</v>
      </c>
      <c r="J15" s="57">
        <f t="shared" si="11"/>
        <v>72600.584071495905</v>
      </c>
      <c r="K15" s="57">
        <f t="shared" si="12"/>
        <v>73267.661333977245</v>
      </c>
      <c r="L15" s="57">
        <f t="shared" si="1"/>
        <v>69355.332306525437</v>
      </c>
      <c r="M15" s="12" t="s">
        <v>3911</v>
      </c>
      <c r="N15" s="12">
        <f>882-$AD$19</f>
        <v>668</v>
      </c>
      <c r="O15" s="12">
        <v>0</v>
      </c>
      <c r="P15" s="12">
        <v>0</v>
      </c>
      <c r="Q15" s="12">
        <v>0</v>
      </c>
      <c r="R15" s="12">
        <f t="shared" si="2"/>
        <v>21.901639344262296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63892.67927706</v>
      </c>
      <c r="C16" s="86">
        <f t="shared" si="0"/>
        <v>67010.342976082364</v>
      </c>
      <c r="D16" s="86">
        <f t="shared" si="5"/>
        <v>67651.925017510424</v>
      </c>
      <c r="E16" s="86">
        <f t="shared" si="6"/>
        <v>68299.658715265978</v>
      </c>
      <c r="F16" s="86">
        <f t="shared" si="7"/>
        <v>68953.603138489852</v>
      </c>
      <c r="G16" s="86">
        <f t="shared" si="8"/>
        <v>69613.817924302828</v>
      </c>
      <c r="H16" s="86">
        <f t="shared" si="9"/>
        <v>70280.363283337807</v>
      </c>
      <c r="I16" s="86">
        <f t="shared" si="10"/>
        <v>70953.300005206518</v>
      </c>
      <c r="J16" s="86">
        <f t="shared" si="11"/>
        <v>71632.689464110648</v>
      </c>
      <c r="K16" s="86">
        <f t="shared" si="12"/>
        <v>72318.593624480462</v>
      </c>
      <c r="L16" s="86">
        <f t="shared" si="1"/>
        <v>68299.658715265978</v>
      </c>
      <c r="M16" s="148" t="s">
        <v>4235</v>
      </c>
      <c r="N16" s="148">
        <f>910-$AD$19</f>
        <v>696</v>
      </c>
      <c r="O16" s="148">
        <v>0</v>
      </c>
      <c r="P16" s="148">
        <v>0</v>
      </c>
      <c r="Q16" s="148">
        <v>0</v>
      </c>
      <c r="R16" s="148">
        <f t="shared" si="2"/>
        <v>22.819672131147541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1" t="s">
        <v>4250</v>
      </c>
      <c r="B17" s="192">
        <f t="shared" si="14"/>
        <v>96708.520078741058</v>
      </c>
      <c r="C17" s="192">
        <f t="shared" si="0"/>
        <v>97053.3649125558</v>
      </c>
      <c r="D17" s="192">
        <f t="shared" si="5"/>
        <v>97122.484137410022</v>
      </c>
      <c r="E17" s="192">
        <f t="shared" si="6"/>
        <v>97191.653534746438</v>
      </c>
      <c r="F17" s="192">
        <f t="shared" si="7"/>
        <v>97260.87314167367</v>
      </c>
      <c r="G17" s="192">
        <f t="shared" si="8"/>
        <v>97330.142995324932</v>
      </c>
      <c r="H17" s="192">
        <f t="shared" si="9"/>
        <v>97399.463132864708</v>
      </c>
      <c r="I17" s="192">
        <f t="shared" si="10"/>
        <v>97468.833591482966</v>
      </c>
      <c r="J17" s="192">
        <f t="shared" si="11"/>
        <v>97538.25440839876</v>
      </c>
      <c r="K17" s="192">
        <f t="shared" si="12"/>
        <v>97607.725620861063</v>
      </c>
      <c r="L17" s="192">
        <f t="shared" si="1"/>
        <v>97191.653534746438</v>
      </c>
      <c r="M17" s="191" t="s">
        <v>4259</v>
      </c>
      <c r="N17" s="191">
        <f>266-$AD$19</f>
        <v>52</v>
      </c>
      <c r="O17" s="191">
        <v>0</v>
      </c>
      <c r="P17" s="191">
        <v>0</v>
      </c>
      <c r="Q17" s="191">
        <v>0</v>
      </c>
      <c r="R17" s="191">
        <f t="shared" si="2"/>
        <v>1.7049180327868851</v>
      </c>
      <c r="S17" s="192">
        <v>100000</v>
      </c>
      <c r="T17" s="192"/>
      <c r="U17" s="192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4251</v>
      </c>
      <c r="B18" s="88">
        <f t="shared" si="14"/>
        <v>94615.200017862953</v>
      </c>
      <c r="C18" s="88">
        <f t="shared" si="0"/>
        <v>95173.82554988873</v>
      </c>
      <c r="D18" s="88">
        <f t="shared" si="5"/>
        <v>95285.950429870747</v>
      </c>
      <c r="E18" s="88">
        <f t="shared" si="6"/>
        <v>95398.208942693964</v>
      </c>
      <c r="F18" s="88">
        <f t="shared" si="7"/>
        <v>95510.601249460204</v>
      </c>
      <c r="G18" s="88">
        <f t="shared" si="8"/>
        <v>95623.127511462473</v>
      </c>
      <c r="H18" s="88">
        <f t="shared" si="9"/>
        <v>95735.787890195745</v>
      </c>
      <c r="I18" s="88">
        <f t="shared" si="10"/>
        <v>95848.582547347658</v>
      </c>
      <c r="J18" s="88">
        <f t="shared" si="11"/>
        <v>95961.511644804836</v>
      </c>
      <c r="K18" s="88">
        <f t="shared" si="12"/>
        <v>96074.57534465444</v>
      </c>
      <c r="L18" s="88">
        <f t="shared" si="1"/>
        <v>95398.208942693964</v>
      </c>
      <c r="M18" s="87" t="s">
        <v>4260</v>
      </c>
      <c r="N18" s="87">
        <f>300-$AD$19</f>
        <v>86</v>
      </c>
      <c r="O18" s="87">
        <v>0</v>
      </c>
      <c r="P18" s="87">
        <v>0</v>
      </c>
      <c r="Q18" s="87">
        <v>0</v>
      </c>
      <c r="R18" s="87">
        <f t="shared" si="2"/>
        <v>2.819672131147541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4252</v>
      </c>
      <c r="B19" s="57">
        <f t="shared" si="14"/>
        <v>59219.840730648211</v>
      </c>
      <c r="C19" s="57">
        <f t="shared" si="0"/>
        <v>62613.198336250236</v>
      </c>
      <c r="D19" s="57">
        <f t="shared" si="5"/>
        <v>63314.88435326222</v>
      </c>
      <c r="E19" s="57">
        <f t="shared" si="6"/>
        <v>64024.443708940584</v>
      </c>
      <c r="F19" s="57">
        <f t="shared" si="7"/>
        <v>64741.964856505219</v>
      </c>
      <c r="G19" s="57">
        <f t="shared" si="8"/>
        <v>65467.537244103056</v>
      </c>
      <c r="H19" s="57">
        <f t="shared" si="9"/>
        <v>66201.251326081954</v>
      </c>
      <c r="I19" s="57">
        <f t="shared" si="10"/>
        <v>66943.198574261158</v>
      </c>
      <c r="J19" s="57">
        <f t="shared" si="11"/>
        <v>67693.471489429852</v>
      </c>
      <c r="K19" s="57">
        <f t="shared" si="12"/>
        <v>68452.163612946068</v>
      </c>
      <c r="L19" s="57">
        <f t="shared" si="1"/>
        <v>64024.443708940584</v>
      </c>
      <c r="M19" s="12" t="s">
        <v>4261</v>
      </c>
      <c r="N19" s="12">
        <f>1028-$AD$19</f>
        <v>814</v>
      </c>
      <c r="O19" s="12">
        <v>0</v>
      </c>
      <c r="P19" s="12">
        <v>0</v>
      </c>
      <c r="Q19" s="12">
        <v>0</v>
      </c>
      <c r="R19" s="12">
        <f t="shared" si="2"/>
        <v>26.688524590163933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214</v>
      </c>
      <c r="AF19" s="26"/>
    </row>
    <row r="20" spans="1:32" ht="22.5" customHeight="1" x14ac:dyDescent="0.25">
      <c r="A20" s="148" t="s">
        <v>4253</v>
      </c>
      <c r="B20" s="86">
        <f t="shared" si="14"/>
        <v>82547.089300865948</v>
      </c>
      <c r="C20" s="86">
        <f t="shared" si="0"/>
        <v>84248.219384556345</v>
      </c>
      <c r="D20" s="86">
        <f t="shared" si="5"/>
        <v>84592.643495147582</v>
      </c>
      <c r="E20" s="86">
        <f t="shared" si="6"/>
        <v>84938.480427057497</v>
      </c>
      <c r="F20" s="86">
        <f t="shared" si="7"/>
        <v>85285.73599512309</v>
      </c>
      <c r="G20" s="86">
        <f t="shared" si="8"/>
        <v>85634.416038177354</v>
      </c>
      <c r="H20" s="86">
        <f t="shared" si="9"/>
        <v>85984.526419181857</v>
      </c>
      <c r="I20" s="86">
        <f t="shared" si="10"/>
        <v>86336.073025296966</v>
      </c>
      <c r="J20" s="86">
        <f t="shared" si="11"/>
        <v>86689.061768000945</v>
      </c>
      <c r="K20" s="86">
        <f t="shared" si="12"/>
        <v>87043.498583194974</v>
      </c>
      <c r="L20" s="86">
        <f t="shared" si="1"/>
        <v>84938.480427057497</v>
      </c>
      <c r="M20" s="148" t="s">
        <v>3857</v>
      </c>
      <c r="N20" s="148">
        <f>512-$AD$19</f>
        <v>298</v>
      </c>
      <c r="O20" s="148">
        <v>0</v>
      </c>
      <c r="P20" s="148">
        <v>0</v>
      </c>
      <c r="Q20" s="148">
        <v>0</v>
      </c>
      <c r="R20" s="148">
        <f t="shared" si="2"/>
        <v>9.7704918032786878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1" t="s">
        <v>4254</v>
      </c>
      <c r="B21" s="192">
        <f t="shared" si="14"/>
        <v>66579.519143300407</v>
      </c>
      <c r="C21" s="192">
        <f>$S21/(1+($C$1-$O21+$P21)/36500)^$N21</f>
        <v>69523.047028252069</v>
      </c>
      <c r="D21" s="192">
        <f t="shared" si="5"/>
        <v>70127.213247832333</v>
      </c>
      <c r="E21" s="192">
        <f t="shared" si="6"/>
        <v>70736.638146623591</v>
      </c>
      <c r="F21" s="192">
        <f t="shared" si="7"/>
        <v>71351.367569265771</v>
      </c>
      <c r="G21" s="192">
        <f t="shared" si="8"/>
        <v>71971.4477606742</v>
      </c>
      <c r="H21" s="192">
        <f t="shared" si="9"/>
        <v>72596.925369599208</v>
      </c>
      <c r="I21" s="192">
        <f t="shared" si="10"/>
        <v>73227.847452104979</v>
      </c>
      <c r="J21" s="192">
        <f t="shared" si="11"/>
        <v>73864.261475165156</v>
      </c>
      <c r="K21" s="192">
        <f t="shared" si="12"/>
        <v>74506.215320265022</v>
      </c>
      <c r="L21" s="192">
        <f t="shared" si="1"/>
        <v>70736.638146623591</v>
      </c>
      <c r="M21" s="191" t="s">
        <v>4262</v>
      </c>
      <c r="N21" s="191">
        <f>846-$AD$19</f>
        <v>632</v>
      </c>
      <c r="O21" s="191">
        <v>0</v>
      </c>
      <c r="P21" s="191">
        <v>0</v>
      </c>
      <c r="Q21" s="191">
        <v>0</v>
      </c>
      <c r="R21" s="191">
        <f t="shared" si="2"/>
        <v>20.721311475409838</v>
      </c>
      <c r="S21" s="192">
        <v>100000</v>
      </c>
      <c r="T21" s="192"/>
      <c r="U21" s="192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1" t="s">
        <v>4325</v>
      </c>
      <c r="B22" s="192">
        <f t="shared" si="14"/>
        <v>79317.909373023707</v>
      </c>
      <c r="C22" s="192">
        <f>$S22/(1+($C$1-$O22+$P22)/36500)^$N22</f>
        <v>81296.784025079847</v>
      </c>
      <c r="D22" s="192">
        <f t="shared" si="5"/>
        <v>81698.460944404462</v>
      </c>
      <c r="E22" s="192">
        <f t="shared" si="6"/>
        <v>82102.128037725226</v>
      </c>
      <c r="F22" s="192">
        <f t="shared" si="7"/>
        <v>82507.795193144426</v>
      </c>
      <c r="G22" s="192">
        <f t="shared" si="8"/>
        <v>82915.472348009891</v>
      </c>
      <c r="H22" s="192">
        <f t="shared" si="9"/>
        <v>83325.169489200009</v>
      </c>
      <c r="I22" s="192">
        <f t="shared" si="10"/>
        <v>83736.896653336225</v>
      </c>
      <c r="J22" s="192">
        <f t="shared" si="11"/>
        <v>84150.663927053538</v>
      </c>
      <c r="K22" s="192">
        <f t="shared" si="12"/>
        <v>84566.481447255603</v>
      </c>
      <c r="L22" s="192">
        <f t="shared" si="1"/>
        <v>82102.128037725226</v>
      </c>
      <c r="M22" s="191" t="s">
        <v>4326</v>
      </c>
      <c r="N22" s="191">
        <f>574-$AD$19</f>
        <v>360</v>
      </c>
      <c r="O22" s="191">
        <v>0</v>
      </c>
      <c r="P22" s="191"/>
      <c r="Q22" s="191">
        <v>0</v>
      </c>
      <c r="R22" s="191">
        <f t="shared" si="2"/>
        <v>11.803278688524591</v>
      </c>
      <c r="S22" s="192">
        <v>100000</v>
      </c>
      <c r="T22" s="192"/>
      <c r="U22" s="192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4255</v>
      </c>
      <c r="B23" s="88">
        <f t="shared" si="14"/>
        <v>83832.100294718824</v>
      </c>
      <c r="C23" s="88">
        <f t="shared" ref="C23:C37" si="16">$S23/(1+($C$1-$O23+$P23)/36500)^$N23</f>
        <v>85419.266857635448</v>
      </c>
      <c r="D23" s="88">
        <f t="shared" si="5"/>
        <v>85740.301246754607</v>
      </c>
      <c r="E23" s="88">
        <f t="shared" si="6"/>
        <v>86062.546611377446</v>
      </c>
      <c r="F23" s="88">
        <f t="shared" si="7"/>
        <v>86386.007536111822</v>
      </c>
      <c r="G23" s="88">
        <f t="shared" si="8"/>
        <v>86710.688622970119</v>
      </c>
      <c r="H23" s="88">
        <f t="shared" si="9"/>
        <v>87036.594491466356</v>
      </c>
      <c r="I23" s="88">
        <f t="shared" si="10"/>
        <v>87363.729778655354</v>
      </c>
      <c r="J23" s="88">
        <f t="shared" si="11"/>
        <v>87692.09913921704</v>
      </c>
      <c r="K23" s="88">
        <f t="shared" si="12"/>
        <v>88021.707245527607</v>
      </c>
      <c r="L23" s="88">
        <f t="shared" si="1"/>
        <v>86062.546611377446</v>
      </c>
      <c r="M23" s="87" t="s">
        <v>4263</v>
      </c>
      <c r="N23" s="87">
        <f>488-$AD$19</f>
        <v>274</v>
      </c>
      <c r="O23" s="87">
        <v>0</v>
      </c>
      <c r="P23" s="87">
        <v>0</v>
      </c>
      <c r="Q23" s="87">
        <v>0</v>
      </c>
      <c r="R23" s="87">
        <f t="shared" si="2"/>
        <v>8.9836065573770494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4256</v>
      </c>
      <c r="B24" s="86">
        <f t="shared" si="14"/>
        <v>82176.018258077384</v>
      </c>
      <c r="C24" s="86">
        <f t="shared" si="16"/>
        <v>83909.697847985357</v>
      </c>
      <c r="D24" s="86">
        <f t="shared" si="5"/>
        <v>84260.812838992773</v>
      </c>
      <c r="E24" s="86">
        <f t="shared" si="6"/>
        <v>84613.401886497712</v>
      </c>
      <c r="F24" s="86">
        <f t="shared" si="7"/>
        <v>84967.471199224165</v>
      </c>
      <c r="G24" s="86">
        <f t="shared" si="8"/>
        <v>85323.027012115883</v>
      </c>
      <c r="H24" s="86">
        <f t="shared" si="9"/>
        <v>85680.075586481369</v>
      </c>
      <c r="I24" s="86">
        <f t="shared" si="10"/>
        <v>86038.623210075297</v>
      </c>
      <c r="J24" s="86">
        <f t="shared" si="11"/>
        <v>86398.676197229739</v>
      </c>
      <c r="K24" s="86">
        <f t="shared" si="12"/>
        <v>86760.240888971413</v>
      </c>
      <c r="L24" s="86">
        <f t="shared" si="1"/>
        <v>84613.401886497712</v>
      </c>
      <c r="M24" s="148" t="s">
        <v>4264</v>
      </c>
      <c r="N24" s="148">
        <f>519-$AD$19</f>
        <v>305</v>
      </c>
      <c r="O24" s="148">
        <v>0</v>
      </c>
      <c r="P24" s="148">
        <v>0</v>
      </c>
      <c r="Q24" s="148">
        <v>0</v>
      </c>
      <c r="R24" s="148">
        <f t="shared" si="2"/>
        <v>10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1" t="s">
        <v>1005</v>
      </c>
      <c r="B25" s="192">
        <f t="shared" si="14"/>
        <v>79600.393564657017</v>
      </c>
      <c r="C25" s="192">
        <f t="shared" si="16"/>
        <v>86317.605698649757</v>
      </c>
      <c r="D25" s="192">
        <f t="shared" si="5"/>
        <v>87727.652543125281</v>
      </c>
      <c r="E25" s="192">
        <f t="shared" si="6"/>
        <v>89160.753087944642</v>
      </c>
      <c r="F25" s="192">
        <f t="shared" si="7"/>
        <v>90617.284575354846</v>
      </c>
      <c r="G25" s="192">
        <f t="shared" si="8"/>
        <v>92097.630426030359</v>
      </c>
      <c r="H25" s="192">
        <f t="shared" si="9"/>
        <v>93602.18034028112</v>
      </c>
      <c r="I25" s="192">
        <f t="shared" si="10"/>
        <v>95131.330400851191</v>
      </c>
      <c r="J25" s="192">
        <f t="shared" si="11"/>
        <v>96685.483177835893</v>
      </c>
      <c r="K25" s="192">
        <f t="shared" si="12"/>
        <v>98265.04783471486</v>
      </c>
      <c r="L25" s="192">
        <f t="shared" si="1"/>
        <v>89160.753087944642</v>
      </c>
      <c r="M25" s="191" t="s">
        <v>1006</v>
      </c>
      <c r="N25" s="191">
        <f>1397-$AD$19</f>
        <v>1183</v>
      </c>
      <c r="O25" s="191">
        <v>17</v>
      </c>
      <c r="P25" s="191">
        <f>$AI$2</f>
        <v>0.54</v>
      </c>
      <c r="Q25" s="191">
        <v>6</v>
      </c>
      <c r="R25" s="191">
        <f t="shared" si="2"/>
        <v>38.786885245901637</v>
      </c>
      <c r="S25" s="192">
        <v>100000</v>
      </c>
      <c r="T25" s="192">
        <v>96000</v>
      </c>
      <c r="U25" s="192">
        <f t="shared" si="3"/>
        <v>178933.75352079337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97150.412427591407</v>
      </c>
      <c r="C26" s="88">
        <f t="shared" si="16"/>
        <v>99507.385213605608</v>
      </c>
      <c r="D26" s="88">
        <f t="shared" si="5"/>
        <v>99985.617475697742</v>
      </c>
      <c r="E26" s="88">
        <f t="shared" si="6"/>
        <v>100466.15471937263</v>
      </c>
      <c r="F26" s="88">
        <f t="shared" si="7"/>
        <v>100949.00808597998</v>
      </c>
      <c r="G26" s="88">
        <f t="shared" si="8"/>
        <v>101434.18877086644</v>
      </c>
      <c r="H26" s="88">
        <f t="shared" si="9"/>
        <v>101921.70802365569</v>
      </c>
      <c r="I26" s="88">
        <f t="shared" si="10"/>
        <v>102411.57714848942</v>
      </c>
      <c r="J26" s="88">
        <f t="shared" si="11"/>
        <v>102903.80750432581</v>
      </c>
      <c r="K26" s="88">
        <f t="shared" si="12"/>
        <v>103398.41050517812</v>
      </c>
      <c r="L26" s="88">
        <f t="shared" si="1"/>
        <v>100466.15471937263</v>
      </c>
      <c r="M26" s="87" t="s">
        <v>977</v>
      </c>
      <c r="N26" s="87">
        <f>564-$AD$19</f>
        <v>350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11.475409836065573</v>
      </c>
      <c r="S26" s="88">
        <v>100000</v>
      </c>
      <c r="T26" s="88">
        <v>100000</v>
      </c>
      <c r="U26" s="88">
        <f t="shared" si="3"/>
        <v>123458.4161450005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92258.078865232193</v>
      </c>
      <c r="C27" s="57">
        <f t="shared" si="16"/>
        <v>94606.121482768125</v>
      </c>
      <c r="D27" s="57">
        <f t="shared" si="5"/>
        <v>95082.872673808728</v>
      </c>
      <c r="E27" s="57">
        <f t="shared" si="6"/>
        <v>95562.032949452856</v>
      </c>
      <c r="F27" s="57">
        <f t="shared" si="7"/>
        <v>96043.614516341448</v>
      </c>
      <c r="G27" s="57">
        <f t="shared" si="8"/>
        <v>96527.629643167864</v>
      </c>
      <c r="H27" s="57">
        <f t="shared" si="9"/>
        <v>97014.090660932256</v>
      </c>
      <c r="I27" s="57">
        <f t="shared" si="10"/>
        <v>97503.009963304939</v>
      </c>
      <c r="J27" s="57">
        <f t="shared" si="11"/>
        <v>97994.400006930751</v>
      </c>
      <c r="K27" s="57">
        <f t="shared" si="12"/>
        <v>98488.273311726982</v>
      </c>
      <c r="L27" s="57">
        <f t="shared" si="1"/>
        <v>95562.032949452856</v>
      </c>
      <c r="M27" s="12" t="s">
        <v>978</v>
      </c>
      <c r="N27" s="12">
        <f>581-$AD$19</f>
        <v>367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12.032786885245901</v>
      </c>
      <c r="S27" s="57">
        <v>100000</v>
      </c>
      <c r="T27" s="57">
        <v>92000</v>
      </c>
      <c r="U27" s="57">
        <f t="shared" si="3"/>
        <v>118613.89895889669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96598.292726850981</v>
      </c>
      <c r="C28" s="86">
        <f t="shared" si="16"/>
        <v>99410.556465214075</v>
      </c>
      <c r="D28" s="86">
        <f t="shared" si="5"/>
        <v>99982.782307872927</v>
      </c>
      <c r="E28" s="86">
        <f t="shared" si="6"/>
        <v>100558.30989652989</v>
      </c>
      <c r="F28" s="86">
        <f t="shared" si="7"/>
        <v>101137.1583279054</v>
      </c>
      <c r="G28" s="86">
        <f t="shared" si="8"/>
        <v>101719.34680942482</v>
      </c>
      <c r="H28" s="86">
        <f t="shared" si="9"/>
        <v>102304.89465988221</v>
      </c>
      <c r="I28" s="86">
        <f t="shared" si="10"/>
        <v>102893.82131006036</v>
      </c>
      <c r="J28" s="86">
        <f t="shared" si="11"/>
        <v>103486.14630342191</v>
      </c>
      <c r="K28" s="86">
        <f t="shared" si="12"/>
        <v>104081.88929673041</v>
      </c>
      <c r="L28" s="86">
        <f t="shared" si="1"/>
        <v>100558.30989652989</v>
      </c>
      <c r="M28" s="148" t="s">
        <v>979</v>
      </c>
      <c r="N28" s="148">
        <f>633-$AD$19</f>
        <v>419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13.737704918032787</v>
      </c>
      <c r="S28" s="86">
        <v>100000</v>
      </c>
      <c r="T28" s="86">
        <v>100000</v>
      </c>
      <c r="U28" s="86">
        <f t="shared" si="3"/>
        <v>128695.49764697831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96057.24473762585</v>
      </c>
      <c r="C29" s="94">
        <f t="shared" si="16"/>
        <v>99315.2232162539</v>
      </c>
      <c r="D29" s="90">
        <f t="shared" si="5"/>
        <v>99979.988308091037</v>
      </c>
      <c r="E29" s="90">
        <f t="shared" si="6"/>
        <v>100649.21219399272</v>
      </c>
      <c r="F29" s="90">
        <f t="shared" si="7"/>
        <v>101322.92484223447</v>
      </c>
      <c r="G29" s="90">
        <f t="shared" si="8"/>
        <v>102001.15642291504</v>
      </c>
      <c r="H29" s="90">
        <f t="shared" si="9"/>
        <v>102683.93730934258</v>
      </c>
      <c r="I29" s="90">
        <f t="shared" si="10"/>
        <v>103371.29807937425</v>
      </c>
      <c r="J29" s="90">
        <f t="shared" si="11"/>
        <v>104063.26951684373</v>
      </c>
      <c r="K29" s="90">
        <f t="shared" si="12"/>
        <v>104759.88261291206</v>
      </c>
      <c r="L29" s="92">
        <f t="shared" si="1"/>
        <v>100649.21219399272</v>
      </c>
      <c r="M29" s="91" t="s">
        <v>980</v>
      </c>
      <c r="N29" s="91">
        <f>701-$AD$19</f>
        <v>487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15.967213114754099</v>
      </c>
      <c r="S29" s="92">
        <v>100000</v>
      </c>
      <c r="T29" s="92">
        <v>100000</v>
      </c>
      <c r="U29" s="92">
        <f t="shared" si="3"/>
        <v>134073.98515850594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91879.026375588743</v>
      </c>
      <c r="C30" s="94">
        <f t="shared" si="16"/>
        <v>95170.846926111364</v>
      </c>
      <c r="D30" s="90">
        <f t="shared" si="5"/>
        <v>95843.258315488056</v>
      </c>
      <c r="E30" s="90">
        <f t="shared" si="6"/>
        <v>96520.429806919623</v>
      </c>
      <c r="F30" s="90">
        <f t="shared" si="7"/>
        <v>97202.395163796769</v>
      </c>
      <c r="G30" s="90">
        <f t="shared" si="8"/>
        <v>97889.188389434014</v>
      </c>
      <c r="H30" s="90">
        <f t="shared" si="9"/>
        <v>98580.843728835331</v>
      </c>
      <c r="I30" s="90">
        <f t="shared" si="10"/>
        <v>99277.395670348575</v>
      </c>
      <c r="J30" s="90">
        <f t="shared" si="11"/>
        <v>99978.878947480232</v>
      </c>
      <c r="K30" s="90">
        <f t="shared" si="12"/>
        <v>100685.32854055587</v>
      </c>
      <c r="L30" s="94">
        <f t="shared" si="1"/>
        <v>96520.429806919623</v>
      </c>
      <c r="M30" s="93" t="s">
        <v>1004</v>
      </c>
      <c r="N30" s="93">
        <f>728-$AD$19</f>
        <v>514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16.852459016393443</v>
      </c>
      <c r="S30" s="94">
        <v>100000</v>
      </c>
      <c r="T30" s="94">
        <v>95000</v>
      </c>
      <c r="U30" s="94">
        <f t="shared" si="3"/>
        <v>130634.98551143723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90452.876253889161</v>
      </c>
      <c r="C31" s="86">
        <f t="shared" si="16"/>
        <v>93328.411594305857</v>
      </c>
      <c r="D31" s="86">
        <f t="shared" si="5"/>
        <v>93914.420866203844</v>
      </c>
      <c r="E31" s="86">
        <f t="shared" si="6"/>
        <v>94504.117793612881</v>
      </c>
      <c r="F31" s="86">
        <f t="shared" si="7"/>
        <v>95097.525633278638</v>
      </c>
      <c r="G31" s="86">
        <f t="shared" si="8"/>
        <v>95694.667788982741</v>
      </c>
      <c r="H31" s="86">
        <f t="shared" si="9"/>
        <v>96295.567812396897</v>
      </c>
      <c r="I31" s="86">
        <f t="shared" si="10"/>
        <v>96900.249404077433</v>
      </c>
      <c r="J31" s="86">
        <f t="shared" si="11"/>
        <v>97508.736414389248</v>
      </c>
      <c r="K31" s="86">
        <f t="shared" si="12"/>
        <v>98121.052844427031</v>
      </c>
      <c r="L31" s="86">
        <f t="shared" si="1"/>
        <v>94504.117793612881</v>
      </c>
      <c r="M31" s="148" t="s">
        <v>981</v>
      </c>
      <c r="N31" s="148">
        <f>671-$AD$19</f>
        <v>457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14.983606557377049</v>
      </c>
      <c r="S31" s="86">
        <v>100000</v>
      </c>
      <c r="T31" s="86">
        <v>90600</v>
      </c>
      <c r="U31" s="86">
        <f t="shared" si="3"/>
        <v>123684.69707926756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82618.969449044991</v>
      </c>
      <c r="C32" s="94">
        <f t="shared" si="16"/>
        <v>87098.203639925661</v>
      </c>
      <c r="D32" s="90">
        <f t="shared" si="5"/>
        <v>88022.818641473175</v>
      </c>
      <c r="E32" s="90">
        <f t="shared" si="6"/>
        <v>88957.26201464099</v>
      </c>
      <c r="F32" s="90">
        <f t="shared" si="7"/>
        <v>89901.638368753658</v>
      </c>
      <c r="G32" s="90">
        <f t="shared" si="8"/>
        <v>90856.053428030864</v>
      </c>
      <c r="H32" s="90">
        <f t="shared" si="9"/>
        <v>91820.614043401307</v>
      </c>
      <c r="I32" s="90">
        <f t="shared" si="10"/>
        <v>92795.428204664757</v>
      </c>
      <c r="J32" s="90">
        <f t="shared" si="11"/>
        <v>93780.605052502724</v>
      </c>
      <c r="K32" s="90">
        <f t="shared" si="12"/>
        <v>94776.25489088356</v>
      </c>
      <c r="L32" s="92">
        <f t="shared" si="1"/>
        <v>88957.26201464099</v>
      </c>
      <c r="M32" s="91" t="s">
        <v>982</v>
      </c>
      <c r="N32" s="91">
        <f>985-$AD$19</f>
        <v>771</v>
      </c>
      <c r="O32" s="91">
        <v>15</v>
      </c>
      <c r="P32" s="91">
        <f>$AI$2</f>
        <v>0.54</v>
      </c>
      <c r="Q32" s="91">
        <v>6</v>
      </c>
      <c r="R32" s="91">
        <f t="shared" si="2"/>
        <v>25.278688524590162</v>
      </c>
      <c r="S32" s="92">
        <v>100000</v>
      </c>
      <c r="T32" s="92">
        <v>85800</v>
      </c>
      <c r="U32" s="92">
        <f t="shared" si="3"/>
        <v>140069.78080588096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90855.428732060871</v>
      </c>
      <c r="C33" s="94">
        <f t="shared" si="16"/>
        <v>91786.828785265461</v>
      </c>
      <c r="D33" s="90">
        <f t="shared" si="5"/>
        <v>91974.259168066987</v>
      </c>
      <c r="E33" s="90">
        <f t="shared" si="6"/>
        <v>92162.074861114903</v>
      </c>
      <c r="F33" s="90">
        <f t="shared" si="7"/>
        <v>92350.27666180706</v>
      </c>
      <c r="G33" s="90">
        <f t="shared" si="8"/>
        <v>92538.865369193591</v>
      </c>
      <c r="H33" s="90">
        <f t="shared" si="9"/>
        <v>92727.841783998098</v>
      </c>
      <c r="I33" s="90">
        <f t="shared" si="10"/>
        <v>92917.206708605387</v>
      </c>
      <c r="J33" s="90">
        <f t="shared" si="11"/>
        <v>93106.960947074724</v>
      </c>
      <c r="K33" s="90">
        <f t="shared" si="12"/>
        <v>93297.10530514596</v>
      </c>
      <c r="L33" s="94">
        <f t="shared" si="1"/>
        <v>92162.074861114903</v>
      </c>
      <c r="M33" s="93" t="s">
        <v>983</v>
      </c>
      <c r="N33" s="93">
        <f>363-$AD$19</f>
        <v>149</v>
      </c>
      <c r="O33" s="93">
        <v>0</v>
      </c>
      <c r="P33" s="93">
        <v>0</v>
      </c>
      <c r="Q33" s="93">
        <v>0</v>
      </c>
      <c r="R33" s="93">
        <f t="shared" si="2"/>
        <v>4.8852459016393439</v>
      </c>
      <c r="S33" s="94">
        <v>100000</v>
      </c>
      <c r="T33" s="94">
        <v>82800</v>
      </c>
      <c r="U33" s="94">
        <f>B33*(1+$AC$2/36500)^N33</f>
        <v>100613.79828488224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88969.47794267071</v>
      </c>
      <c r="C34" s="94">
        <f t="shared" si="16"/>
        <v>95642.435287528817</v>
      </c>
      <c r="D34" s="90">
        <f t="shared" si="5"/>
        <v>97035.98096617253</v>
      </c>
      <c r="E34" s="90">
        <f t="shared" si="6"/>
        <v>98449.850628887449</v>
      </c>
      <c r="F34" s="90">
        <f t="shared" si="7"/>
        <v>99884.340972689955</v>
      </c>
      <c r="G34" s="90">
        <f t="shared" si="8"/>
        <v>101339.75303000481</v>
      </c>
      <c r="H34" s="90">
        <f t="shared" si="9"/>
        <v>102816.39223214574</v>
      </c>
      <c r="I34" s="90">
        <f t="shared" si="10"/>
        <v>104314.56847360784</v>
      </c>
      <c r="J34" s="90">
        <f t="shared" si="11"/>
        <v>105834.5961773512</v>
      </c>
      <c r="K34" s="90">
        <f t="shared" si="12"/>
        <v>107376.79436109004</v>
      </c>
      <c r="L34" s="90">
        <f t="shared" si="1"/>
        <v>98449.850628887449</v>
      </c>
      <c r="M34" s="89" t="s">
        <v>974</v>
      </c>
      <c r="N34" s="89">
        <f>1270-$AD$19</f>
        <v>1056</v>
      </c>
      <c r="O34" s="89">
        <v>20</v>
      </c>
      <c r="P34" s="89">
        <f>$AI$2</f>
        <v>0.54</v>
      </c>
      <c r="Q34" s="89">
        <v>6</v>
      </c>
      <c r="R34" s="89">
        <f t="shared" si="2"/>
        <v>34.622950819672134</v>
      </c>
      <c r="S34" s="90">
        <v>100000</v>
      </c>
      <c r="T34" s="90">
        <v>100000</v>
      </c>
      <c r="U34" s="90">
        <f t="shared" si="3"/>
        <v>183338.36771994931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99230.123468586375</v>
      </c>
      <c r="C35" s="86">
        <f t="shared" si="16"/>
        <v>100186.20177381579</v>
      </c>
      <c r="D35" s="86">
        <f t="shared" si="5"/>
        <v>100378.52793129206</v>
      </c>
      <c r="E35" s="86">
        <f t="shared" si="6"/>
        <v>100571.22593709212</v>
      </c>
      <c r="F35" s="86">
        <f t="shared" si="7"/>
        <v>100764.29651526781</v>
      </c>
      <c r="G35" s="86">
        <f t="shared" si="8"/>
        <v>100957.74039128485</v>
      </c>
      <c r="H35" s="86">
        <f t="shared" si="9"/>
        <v>101151.55829203897</v>
      </c>
      <c r="I35" s="86">
        <f t="shared" si="10"/>
        <v>101345.75094584758</v>
      </c>
      <c r="J35" s="86">
        <f t="shared" si="11"/>
        <v>101540.31908245597</v>
      </c>
      <c r="K35" s="86">
        <f t="shared" si="12"/>
        <v>101735.26343304139</v>
      </c>
      <c r="L35" s="86">
        <f t="shared" si="1"/>
        <v>100571.22593709212</v>
      </c>
      <c r="M35" s="148" t="s">
        <v>976</v>
      </c>
      <c r="N35" s="148">
        <f>354-$AD$19</f>
        <v>140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4.5901639344262293</v>
      </c>
      <c r="S35" s="86">
        <v>100000</v>
      </c>
      <c r="T35" s="86">
        <v>103000</v>
      </c>
      <c r="U35" s="86">
        <f t="shared" si="3"/>
        <v>109212.9033588001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1" t="s">
        <v>997</v>
      </c>
      <c r="B36" s="192">
        <f t="shared" si="14"/>
        <v>96230.547063173522</v>
      </c>
      <c r="C36" s="192">
        <f t="shared" si="16"/>
        <v>100000</v>
      </c>
      <c r="D36" s="192">
        <f t="shared" si="5"/>
        <v>100771.45894246231</v>
      </c>
      <c r="E36" s="192">
        <f t="shared" si="6"/>
        <v>101548.88006457148</v>
      </c>
      <c r="F36" s="192">
        <f t="shared" si="7"/>
        <v>102332.30952735209</v>
      </c>
      <c r="G36" s="192">
        <f t="shared" si="8"/>
        <v>103121.79384983024</v>
      </c>
      <c r="H36" s="192">
        <f t="shared" si="9"/>
        <v>103917.37991189196</v>
      </c>
      <c r="I36" s="192">
        <f t="shared" si="10"/>
        <v>104719.1149570041</v>
      </c>
      <c r="J36" s="192">
        <f t="shared" si="11"/>
        <v>105527.04659509404</v>
      </c>
      <c r="K36" s="192">
        <f t="shared" si="12"/>
        <v>106341.22280536669</v>
      </c>
      <c r="L36" s="192">
        <f t="shared" si="1"/>
        <v>101548.88006457148</v>
      </c>
      <c r="M36" s="191" t="s">
        <v>998</v>
      </c>
      <c r="N36" s="191">
        <f>775-$AD$19</f>
        <v>561</v>
      </c>
      <c r="O36" s="191">
        <v>21</v>
      </c>
      <c r="P36" s="191">
        <v>0</v>
      </c>
      <c r="Q36" s="191">
        <v>1</v>
      </c>
      <c r="R36" s="191">
        <f t="shared" si="2"/>
        <v>18.393442622950818</v>
      </c>
      <c r="S36" s="192">
        <v>100000</v>
      </c>
      <c r="T36" s="192">
        <v>104000</v>
      </c>
      <c r="U36" s="192">
        <f t="shared" si="3"/>
        <v>141296.69343814102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80620.073763558496</v>
      </c>
      <c r="C37" s="88">
        <f t="shared" si="16"/>
        <v>87029.086261040255</v>
      </c>
      <c r="D37" s="88">
        <f t="shared" si="5"/>
        <v>88370.831895205629</v>
      </c>
      <c r="E37" s="88">
        <f t="shared" si="6"/>
        <v>89733.282307234447</v>
      </c>
      <c r="F37" s="88">
        <f t="shared" si="7"/>
        <v>91116.757287335058</v>
      </c>
      <c r="G37" s="88">
        <f t="shared" si="8"/>
        <v>92521.581569509406</v>
      </c>
      <c r="H37" s="88">
        <f t="shared" si="9"/>
        <v>93948.084907986253</v>
      </c>
      <c r="I37" s="88">
        <f t="shared" si="10"/>
        <v>95396.602154771987</v>
      </c>
      <c r="J37" s="88">
        <f t="shared" si="11"/>
        <v>96867.473338811877</v>
      </c>
      <c r="K37" s="88">
        <f t="shared" si="12"/>
        <v>98361.04374580372</v>
      </c>
      <c r="L37" s="88">
        <f t="shared" si="1"/>
        <v>89733.282307234447</v>
      </c>
      <c r="M37" s="87" t="s">
        <v>1047</v>
      </c>
      <c r="N37" s="87">
        <f>1331-$AD$19</f>
        <v>1117</v>
      </c>
      <c r="O37" s="87">
        <v>17</v>
      </c>
      <c r="P37" s="87">
        <f>AI2</f>
        <v>0.54</v>
      </c>
      <c r="Q37" s="87">
        <v>6</v>
      </c>
      <c r="R37" s="87">
        <f t="shared" si="2"/>
        <v>36.622950819672134</v>
      </c>
      <c r="S37" s="88">
        <v>100000</v>
      </c>
      <c r="T37" s="88"/>
      <c r="U37" s="88">
        <f t="shared" si="3"/>
        <v>173218.58180339733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4247</v>
      </c>
      <c r="AD62" s="25"/>
      <c r="AE62" s="26"/>
    </row>
    <row r="63" spans="1:31" x14ac:dyDescent="0.25">
      <c r="A63">
        <v>611</v>
      </c>
      <c r="B63" t="s">
        <v>4239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4240</v>
      </c>
      <c r="AD65" s="25"/>
      <c r="AE65" s="26"/>
    </row>
    <row r="66" spans="1:31" x14ac:dyDescent="0.25">
      <c r="A66">
        <v>702</v>
      </c>
      <c r="B66" t="s">
        <v>4241</v>
      </c>
      <c r="AD66" s="25"/>
      <c r="AE66" s="26"/>
    </row>
    <row r="67" spans="1:31" x14ac:dyDescent="0.25">
      <c r="A67">
        <v>704</v>
      </c>
      <c r="B67" t="s">
        <v>4242</v>
      </c>
      <c r="AD67" s="25"/>
      <c r="AE67" s="26"/>
    </row>
    <row r="68" spans="1:31" x14ac:dyDescent="0.25">
      <c r="A68">
        <v>705</v>
      </c>
      <c r="B68" t="s">
        <v>4243</v>
      </c>
      <c r="AD68" s="25"/>
      <c r="AE68" s="26"/>
    </row>
    <row r="69" spans="1:31" x14ac:dyDescent="0.25">
      <c r="A69">
        <v>706</v>
      </c>
      <c r="B69" t="s">
        <v>4244</v>
      </c>
      <c r="AD69" s="25"/>
      <c r="AE69" s="26"/>
    </row>
    <row r="70" spans="1:31" x14ac:dyDescent="0.25">
      <c r="A70" s="25">
        <v>711</v>
      </c>
      <c r="B70" s="25" t="s">
        <v>4245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4246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1230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14300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4285</v>
      </c>
      <c r="B8" s="95">
        <f>B2*B4*B5*B6/(B1*B3)+B7</f>
        <v>4144749.302250803</v>
      </c>
      <c r="C8" s="99">
        <f>B2*B4*B5/(B1*B3)+B7/B6</f>
        <v>289.8426085490072</v>
      </c>
      <c r="D8" s="99" t="s">
        <v>4288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4286</v>
      </c>
      <c r="B9" s="95">
        <v>4395000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4287</v>
      </c>
      <c r="B10" s="95">
        <f>B9-B8</f>
        <v>250250.69774919702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4180</v>
      </c>
      <c r="J11" s="69" t="s">
        <v>4179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4" t="s">
        <v>1091</v>
      </c>
      <c r="R21" s="194"/>
      <c r="S21" s="194"/>
      <c r="T21" s="194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4"/>
      <c r="R22" s="194"/>
      <c r="S22" s="194"/>
      <c r="T22" s="194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5" t="s">
        <v>1092</v>
      </c>
      <c r="R23" s="196" t="s">
        <v>1093</v>
      </c>
      <c r="S23" s="195" t="s">
        <v>1094</v>
      </c>
      <c r="T23" s="197" t="s">
        <v>1095</v>
      </c>
      <c r="AD23" t="s">
        <v>25</v>
      </c>
    </row>
    <row r="24" spans="5:35" x14ac:dyDescent="0.25">
      <c r="O24" s="99"/>
      <c r="P24" s="99"/>
      <c r="Q24" s="195"/>
      <c r="R24" s="196"/>
      <c r="S24" s="195"/>
      <c r="T24" s="197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4229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-98</v>
      </c>
      <c r="C91" s="144">
        <f>$B$89/(1+(C$90/36500))^$B91</f>
        <v>3148509.4268712038</v>
      </c>
      <c r="D91" s="144">
        <f>$B$89/(1+(D$90/36500))^$B91</f>
        <v>3156970.0237653656</v>
      </c>
      <c r="E91" s="144">
        <f t="shared" ref="E91:K106" si="0">$B$89/(1+(E$90/36500))^$B91</f>
        <v>3165453.1231591152</v>
      </c>
      <c r="F91" s="144">
        <f t="shared" si="0"/>
        <v>3173958.7842833246</v>
      </c>
      <c r="G91" s="144">
        <f t="shared" si="0"/>
        <v>3182487.0665230257</v>
      </c>
      <c r="H91" s="144">
        <f t="shared" si="0"/>
        <v>3191038.0294182282</v>
      </c>
      <c r="I91" s="144">
        <f t="shared" si="0"/>
        <v>3199611.7326637721</v>
      </c>
      <c r="J91" s="144">
        <f t="shared" si="0"/>
        <v>3208208.2361099804</v>
      </c>
      <c r="K91" s="144">
        <f>$B$89/(1+(K$90/36500))^$B91</f>
        <v>3216827.5997631294</v>
      </c>
      <c r="L91" s="99"/>
    </row>
    <row r="92" spans="1:12" x14ac:dyDescent="0.25">
      <c r="A92" s="145" t="s">
        <v>3860</v>
      </c>
      <c r="B92" s="91">
        <f>120-'اوراق بدون ریسک'!$AD$19</f>
        <v>-94</v>
      </c>
      <c r="C92" s="146">
        <f t="shared" ref="C92:K112" si="1">$B$89/(1+(C$90/36500))^$B92</f>
        <v>3142306.3181033102</v>
      </c>
      <c r="D92" s="146">
        <f t="shared" si="1"/>
        <v>3150405.152278515</v>
      </c>
      <c r="E92" s="146">
        <f t="shared" si="0"/>
        <v>3158524.6373870769</v>
      </c>
      <c r="F92" s="146">
        <f t="shared" si="0"/>
        <v>3166664.8255184572</v>
      </c>
      <c r="G92" s="146">
        <f t="shared" si="0"/>
        <v>3174825.7688919599</v>
      </c>
      <c r="H92" s="146">
        <f t="shared" si="0"/>
        <v>3183007.5198574541</v>
      </c>
      <c r="I92" s="146">
        <f t="shared" si="0"/>
        <v>3191210.1308951727</v>
      </c>
      <c r="J92" s="146">
        <f t="shared" si="0"/>
        <v>3199433.6546162856</v>
      </c>
      <c r="K92" s="146">
        <f t="shared" si="0"/>
        <v>3207678.1437632772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-77</v>
      </c>
      <c r="C93" s="149">
        <f t="shared" si="1"/>
        <v>3116079.1579030892</v>
      </c>
      <c r="D93" s="149">
        <f t="shared" si="1"/>
        <v>3122656.4058796666</v>
      </c>
      <c r="E93" s="149">
        <f t="shared" si="0"/>
        <v>3129247.3560755816</v>
      </c>
      <c r="F93" s="149">
        <f t="shared" si="0"/>
        <v>3135852.036659963</v>
      </c>
      <c r="G93" s="149">
        <f t="shared" si="0"/>
        <v>3142470.4758589836</v>
      </c>
      <c r="H93" s="149">
        <f t="shared" si="0"/>
        <v>3149102.7019563015</v>
      </c>
      <c r="I93" s="149">
        <f t="shared" si="0"/>
        <v>3155748.7432927461</v>
      </c>
      <c r="J93" s="149">
        <f t="shared" si="0"/>
        <v>3162408.6282666423</v>
      </c>
      <c r="K93" s="149">
        <f t="shared" si="0"/>
        <v>3169082.3853339623</v>
      </c>
      <c r="L93" s="144">
        <f t="shared" ref="L93:L114" si="2">$B$89/(1+(L$92/36500))^$B91</f>
        <v>3225469.8837857852</v>
      </c>
    </row>
    <row r="94" spans="1:12" x14ac:dyDescent="0.25">
      <c r="A94" s="150" t="s">
        <v>3862</v>
      </c>
      <c r="B94" s="151">
        <f>116-'اوراق بدون ریسک'!$AD$19</f>
        <v>-98</v>
      </c>
      <c r="C94" s="152">
        <f t="shared" si="1"/>
        <v>3148509.4268712038</v>
      </c>
      <c r="D94" s="152">
        <f t="shared" si="1"/>
        <v>3156970.0237653656</v>
      </c>
      <c r="E94" s="152">
        <f t="shared" si="0"/>
        <v>3165453.1231591152</v>
      </c>
      <c r="F94" s="152">
        <f t="shared" si="0"/>
        <v>3173958.7842833246</v>
      </c>
      <c r="G94" s="152">
        <f t="shared" si="0"/>
        <v>3182487.0665230257</v>
      </c>
      <c r="H94" s="152">
        <f t="shared" si="0"/>
        <v>3191038.0294182282</v>
      </c>
      <c r="I94" s="152">
        <f t="shared" si="0"/>
        <v>3199611.7326637721</v>
      </c>
      <c r="J94" s="152">
        <f t="shared" si="0"/>
        <v>3208208.2361099804</v>
      </c>
      <c r="K94" s="152">
        <f t="shared" si="0"/>
        <v>3216827.5997631294</v>
      </c>
      <c r="L94" s="146">
        <f t="shared" si="2"/>
        <v>3215943.6512102112</v>
      </c>
    </row>
    <row r="95" spans="1:12" x14ac:dyDescent="0.25">
      <c r="A95" s="153" t="s">
        <v>3863</v>
      </c>
      <c r="B95" s="154">
        <f>167-'اوراق بدون ریسک'!$AD$19</f>
        <v>-47</v>
      </c>
      <c r="C95" s="155">
        <f t="shared" si="1"/>
        <v>3070328.8023125352</v>
      </c>
      <c r="D95" s="155">
        <f t="shared" si="1"/>
        <v>3074282.9175005262</v>
      </c>
      <c r="E95" s="155">
        <f t="shared" si="0"/>
        <v>3078242.0165024768</v>
      </c>
      <c r="F95" s="155">
        <f t="shared" si="0"/>
        <v>3082206.1054633204</v>
      </c>
      <c r="G95" s="155">
        <f t="shared" si="0"/>
        <v>3086175.1905353465</v>
      </c>
      <c r="H95" s="155">
        <f t="shared" si="0"/>
        <v>3090149.2778783948</v>
      </c>
      <c r="I95" s="155">
        <f t="shared" si="0"/>
        <v>3094128.3736596191</v>
      </c>
      <c r="J95" s="155">
        <f t="shared" si="0"/>
        <v>3098112.4840536141</v>
      </c>
      <c r="K95" s="155">
        <f t="shared" si="0"/>
        <v>3102101.6152424519</v>
      </c>
      <c r="L95" s="149">
        <f t="shared" si="2"/>
        <v>3175770.0430084015</v>
      </c>
    </row>
    <row r="96" spans="1:12" x14ac:dyDescent="0.25">
      <c r="A96" s="158" t="s">
        <v>3864</v>
      </c>
      <c r="B96" s="23">
        <f>181-'اوراق بدون ریسک'!$AD$19</f>
        <v>-33</v>
      </c>
      <c r="C96" s="159">
        <f t="shared" si="1"/>
        <v>3049209.113149351</v>
      </c>
      <c r="D96" s="159">
        <f t="shared" si="1"/>
        <v>3051965.7811097307</v>
      </c>
      <c r="E96" s="159">
        <f t="shared" si="0"/>
        <v>3054724.8656761176</v>
      </c>
      <c r="F96" s="159">
        <f t="shared" si="0"/>
        <v>3057486.3689007461</v>
      </c>
      <c r="G96" s="159">
        <f t="shared" si="0"/>
        <v>3060250.292837502</v>
      </c>
      <c r="H96" s="159">
        <f t="shared" si="0"/>
        <v>3063016.6395420525</v>
      </c>
      <c r="I96" s="159">
        <f t="shared" si="0"/>
        <v>3065785.4110716768</v>
      </c>
      <c r="J96" s="159">
        <f t="shared" si="0"/>
        <v>3068556.6094853478</v>
      </c>
      <c r="K96" s="159">
        <f t="shared" si="0"/>
        <v>3071330.2368437541</v>
      </c>
      <c r="L96" s="152">
        <f t="shared" si="2"/>
        <v>3225469.8837857852</v>
      </c>
    </row>
    <row r="97" spans="1:12" x14ac:dyDescent="0.25">
      <c r="A97" s="160" t="s">
        <v>3865</v>
      </c>
      <c r="B97" s="87">
        <f>197-'اوراق بدون ریسک'!$AD$19</f>
        <v>-17</v>
      </c>
      <c r="C97" s="140">
        <f t="shared" si="1"/>
        <v>3025250.1546377949</v>
      </c>
      <c r="D97" s="140">
        <f t="shared" si="1"/>
        <v>3026658.7893050942</v>
      </c>
      <c r="E97" s="140">
        <f t="shared" si="0"/>
        <v>3028068.041270039</v>
      </c>
      <c r="F97" s="140">
        <f t="shared" si="0"/>
        <v>3029477.910786232</v>
      </c>
      <c r="G97" s="140">
        <f t="shared" si="0"/>
        <v>3030888.3981073513</v>
      </c>
      <c r="H97" s="140">
        <f t="shared" si="0"/>
        <v>3032299.5034872219</v>
      </c>
      <c r="I97" s="140">
        <f t="shared" si="0"/>
        <v>3033711.2271797261</v>
      </c>
      <c r="J97" s="140">
        <f t="shared" si="0"/>
        <v>3035123.5694388468</v>
      </c>
      <c r="K97" s="140">
        <f t="shared" si="0"/>
        <v>3036536.5305186734</v>
      </c>
      <c r="L97" s="155">
        <f t="shared" si="2"/>
        <v>3106095.7734156614</v>
      </c>
    </row>
    <row r="98" spans="1:12" x14ac:dyDescent="0.25">
      <c r="A98" s="161" t="s">
        <v>3866</v>
      </c>
      <c r="B98" s="23">
        <f>214-'اوراق بدون ریسک'!$AD$19</f>
        <v>0</v>
      </c>
      <c r="C98" s="106">
        <f t="shared" si="1"/>
        <v>3000000</v>
      </c>
      <c r="D98" s="106">
        <f t="shared" si="1"/>
        <v>3000000</v>
      </c>
      <c r="E98" s="106">
        <f t="shared" si="0"/>
        <v>3000000</v>
      </c>
      <c r="F98" s="106">
        <f t="shared" si="0"/>
        <v>3000000</v>
      </c>
      <c r="G98" s="106">
        <f t="shared" si="0"/>
        <v>3000000</v>
      </c>
      <c r="H98" s="106">
        <f t="shared" si="0"/>
        <v>3000000</v>
      </c>
      <c r="I98" s="106">
        <f t="shared" si="0"/>
        <v>3000000</v>
      </c>
      <c r="J98" s="106">
        <f t="shared" si="0"/>
        <v>3000000</v>
      </c>
      <c r="K98" s="106">
        <f t="shared" si="0"/>
        <v>3000000</v>
      </c>
      <c r="L98" s="159">
        <f t="shared" si="2"/>
        <v>3074106.2952092839</v>
      </c>
    </row>
    <row r="99" spans="1:12" x14ac:dyDescent="0.25">
      <c r="A99" s="162" t="s">
        <v>3867</v>
      </c>
      <c r="B99" s="163">
        <f>272-'اوراق بدون ریسک'!$AD$19</f>
        <v>58</v>
      </c>
      <c r="C99" s="164">
        <f t="shared" si="1"/>
        <v>2915427.8937966963</v>
      </c>
      <c r="D99" s="164">
        <f t="shared" si="1"/>
        <v>2910801.1810985948</v>
      </c>
      <c r="E99" s="164">
        <f t="shared" si="0"/>
        <v>2906181.937270368</v>
      </c>
      <c r="F99" s="164">
        <f t="shared" si="0"/>
        <v>2901570.1500510499</v>
      </c>
      <c r="G99" s="164">
        <f t="shared" si="0"/>
        <v>2896965.8072002046</v>
      </c>
      <c r="H99" s="164">
        <f t="shared" si="0"/>
        <v>2892368.8964976608</v>
      </c>
      <c r="I99" s="164">
        <f t="shared" si="0"/>
        <v>2887779.405743768</v>
      </c>
      <c r="J99" s="164">
        <f t="shared" si="0"/>
        <v>2883197.3227592334</v>
      </c>
      <c r="K99" s="164">
        <f t="shared" si="0"/>
        <v>2878622.6353850467</v>
      </c>
      <c r="L99" s="140">
        <f t="shared" si="2"/>
        <v>3037950.1106733978</v>
      </c>
    </row>
    <row r="100" spans="1:12" x14ac:dyDescent="0.25">
      <c r="A100" s="147" t="s">
        <v>3868</v>
      </c>
      <c r="B100" s="148">
        <f>302-'اوراق بدون ریسک'!$AD$19</f>
        <v>88</v>
      </c>
      <c r="C100" s="149">
        <f t="shared" si="1"/>
        <v>2872623.5053069079</v>
      </c>
      <c r="D100" s="149">
        <f t="shared" si="1"/>
        <v>2865709.5703652655</v>
      </c>
      <c r="E100" s="149">
        <f t="shared" si="0"/>
        <v>2858812.4647728032</v>
      </c>
      <c r="F100" s="149">
        <f t="shared" si="0"/>
        <v>2851932.1471057129</v>
      </c>
      <c r="G100" s="149">
        <f t="shared" si="0"/>
        <v>2845068.5760433786</v>
      </c>
      <c r="H100" s="149">
        <f t="shared" si="0"/>
        <v>2838221.7103677685</v>
      </c>
      <c r="I100" s="149">
        <f t="shared" si="0"/>
        <v>2831391.5089636226</v>
      </c>
      <c r="J100" s="149">
        <f t="shared" si="0"/>
        <v>2824577.9308179868</v>
      </c>
      <c r="K100" s="149">
        <f t="shared" si="0"/>
        <v>2817780.9350199034</v>
      </c>
      <c r="L100" s="106">
        <f t="shared" si="2"/>
        <v>3000000</v>
      </c>
    </row>
    <row r="101" spans="1:12" x14ac:dyDescent="0.25">
      <c r="A101" s="150" t="s">
        <v>3869</v>
      </c>
      <c r="B101" s="151">
        <f>319-'اوراق بدون ریسک'!$AD$19</f>
        <v>105</v>
      </c>
      <c r="C101" s="152">
        <f t="shared" si="1"/>
        <v>2848647.2441656711</v>
      </c>
      <c r="D101" s="152">
        <f t="shared" si="1"/>
        <v>2840468.4206473292</v>
      </c>
      <c r="E101" s="152">
        <f t="shared" si="0"/>
        <v>2832313.3025509096</v>
      </c>
      <c r="F101" s="152">
        <f t="shared" si="0"/>
        <v>2824181.8205225598</v>
      </c>
      <c r="G101" s="152">
        <f t="shared" si="0"/>
        <v>2816073.9054133347</v>
      </c>
      <c r="H101" s="152">
        <f t="shared" si="0"/>
        <v>2807989.4882781939</v>
      </c>
      <c r="I101" s="152">
        <f t="shared" si="0"/>
        <v>2799928.5003759013</v>
      </c>
      <c r="J101" s="152">
        <f t="shared" si="0"/>
        <v>2791890.8731681854</v>
      </c>
      <c r="K101" s="152">
        <f t="shared" si="0"/>
        <v>2783876.5383190657</v>
      </c>
      <c r="L101" s="164">
        <f t="shared" si="2"/>
        <v>2874055.3314824789</v>
      </c>
    </row>
    <row r="102" spans="1:12" x14ac:dyDescent="0.25">
      <c r="A102" s="147" t="s">
        <v>3870</v>
      </c>
      <c r="B102" s="148">
        <f>334-'اوراق بدون ریسک'!$AD$19</f>
        <v>120</v>
      </c>
      <c r="C102" s="149">
        <f t="shared" si="1"/>
        <v>2827657.9613665836</v>
      </c>
      <c r="D102" s="149">
        <f t="shared" si="1"/>
        <v>2818381.5107040224</v>
      </c>
      <c r="E102" s="149">
        <f t="shared" si="0"/>
        <v>2809135.7452480146</v>
      </c>
      <c r="F102" s="149">
        <f t="shared" si="0"/>
        <v>2799920.5626601027</v>
      </c>
      <c r="G102" s="149">
        <f t="shared" si="0"/>
        <v>2790735.8609460597</v>
      </c>
      <c r="H102" s="149">
        <f t="shared" si="0"/>
        <v>2781581.5384542616</v>
      </c>
      <c r="I102" s="149">
        <f t="shared" si="0"/>
        <v>2772457.4938751208</v>
      </c>
      <c r="J102" s="149">
        <f t="shared" si="0"/>
        <v>2763363.6262396462</v>
      </c>
      <c r="K102" s="149">
        <f t="shared" si="0"/>
        <v>2754299.8349182261</v>
      </c>
      <c r="L102" s="149">
        <f t="shared" si="2"/>
        <v>2811000.4807602051</v>
      </c>
    </row>
    <row r="103" spans="1:12" x14ac:dyDescent="0.25">
      <c r="A103" s="150" t="s">
        <v>3871</v>
      </c>
      <c r="B103" s="151">
        <f>349-'اوراق بدون ریسک'!$AD$19</f>
        <v>135</v>
      </c>
      <c r="C103" s="152">
        <f t="shared" si="1"/>
        <v>2806823.3309181235</v>
      </c>
      <c r="D103" s="152">
        <f t="shared" si="1"/>
        <v>2796466.3441208242</v>
      </c>
      <c r="E103" s="152">
        <f t="shared" si="0"/>
        <v>2786147.8559320774</v>
      </c>
      <c r="F103" s="152">
        <f t="shared" si="0"/>
        <v>2775867.722197968</v>
      </c>
      <c r="G103" s="152">
        <f t="shared" si="0"/>
        <v>2765625.7993084211</v>
      </c>
      <c r="H103" s="152">
        <f t="shared" si="0"/>
        <v>2755421.9441946265</v>
      </c>
      <c r="I103" s="152">
        <f t="shared" si="0"/>
        <v>2745256.0143276392</v>
      </c>
      <c r="J103" s="152">
        <f t="shared" si="0"/>
        <v>2735127.8677160256</v>
      </c>
      <c r="K103" s="152">
        <f t="shared" si="0"/>
        <v>2725037.3629037356</v>
      </c>
      <c r="L103" s="152">
        <f t="shared" si="2"/>
        <v>2775885.4276943151</v>
      </c>
    </row>
    <row r="104" spans="1:12" x14ac:dyDescent="0.25">
      <c r="A104" s="162" t="s">
        <v>3872</v>
      </c>
      <c r="B104" s="163">
        <f>361-'اوراق بدون ریسک'!$AD$19</f>
        <v>147</v>
      </c>
      <c r="C104" s="164">
        <f t="shared" si="1"/>
        <v>2790266.2102232217</v>
      </c>
      <c r="D104" s="164">
        <f t="shared" si="1"/>
        <v>2779056.9683071254</v>
      </c>
      <c r="E104" s="164">
        <f t="shared" si="0"/>
        <v>2767893.0619894355</v>
      </c>
      <c r="F104" s="164">
        <f t="shared" si="0"/>
        <v>2756774.3066771831</v>
      </c>
      <c r="G104" s="164">
        <f t="shared" si="0"/>
        <v>2745700.5185341877</v>
      </c>
      <c r="H104" s="164">
        <f t="shared" si="0"/>
        <v>2734671.5144773843</v>
      </c>
      <c r="I104" s="164">
        <f t="shared" si="0"/>
        <v>2723687.112174429</v>
      </c>
      <c r="J104" s="164">
        <f t="shared" si="0"/>
        <v>2712747.1300402656</v>
      </c>
      <c r="K104" s="164">
        <f t="shared" si="0"/>
        <v>2701851.3872339604</v>
      </c>
      <c r="L104" s="149">
        <f t="shared" si="2"/>
        <v>2745266.0196195361</v>
      </c>
    </row>
    <row r="105" spans="1:12" x14ac:dyDescent="0.25">
      <c r="A105" s="156" t="s">
        <v>3873</v>
      </c>
      <c r="B105" s="93">
        <f>372-'اوراق بدون ریسک'!$AD$19</f>
        <v>158</v>
      </c>
      <c r="C105" s="157">
        <f t="shared" si="1"/>
        <v>2775174.6627384694</v>
      </c>
      <c r="D105" s="157">
        <f t="shared" si="1"/>
        <v>2763193.6008019904</v>
      </c>
      <c r="E105" s="157">
        <f t="shared" si="0"/>
        <v>2751264.5897928337</v>
      </c>
      <c r="F105" s="157">
        <f t="shared" si="0"/>
        <v>2739387.4021632071</v>
      </c>
      <c r="G105" s="157">
        <f t="shared" si="0"/>
        <v>2727561.8113664328</v>
      </c>
      <c r="H105" s="157">
        <f t="shared" si="0"/>
        <v>2715787.5918519278</v>
      </c>
      <c r="I105" s="157">
        <f t="shared" si="0"/>
        <v>2704064.5190615612</v>
      </c>
      <c r="J105" s="157">
        <f t="shared" si="0"/>
        <v>2692392.3694248963</v>
      </c>
      <c r="K105" s="157">
        <f t="shared" si="0"/>
        <v>2680770.9203547346</v>
      </c>
      <c r="L105" s="152">
        <f t="shared" si="2"/>
        <v>2714984.3589681559</v>
      </c>
    </row>
    <row r="106" spans="1:12" x14ac:dyDescent="0.25">
      <c r="A106" s="150" t="s">
        <v>3874</v>
      </c>
      <c r="B106" s="151">
        <f>391-'اوراق بدون ریسک'!$AD$19</f>
        <v>177</v>
      </c>
      <c r="C106" s="152">
        <f t="shared" si="1"/>
        <v>2749299.4488409711</v>
      </c>
      <c r="D106" s="152">
        <f t="shared" si="1"/>
        <v>2736006.2248092978</v>
      </c>
      <c r="E106" s="152">
        <f t="shared" si="0"/>
        <v>2722777.6366285388</v>
      </c>
      <c r="F106" s="152">
        <f t="shared" si="0"/>
        <v>2709613.3682618001</v>
      </c>
      <c r="G106" s="152">
        <f t="shared" si="0"/>
        <v>2696513.1052262266</v>
      </c>
      <c r="H106" s="152">
        <f t="shared" si="0"/>
        <v>2683476.5345846671</v>
      </c>
      <c r="I106" s="152">
        <f t="shared" si="0"/>
        <v>2670503.3449388747</v>
      </c>
      <c r="J106" s="152">
        <f t="shared" si="0"/>
        <v>2657593.2264215075</v>
      </c>
      <c r="K106" s="152">
        <f t="shared" si="0"/>
        <v>2644745.8706884589</v>
      </c>
      <c r="L106" s="164">
        <f t="shared" si="2"/>
        <v>2690999.7036557142</v>
      </c>
    </row>
    <row r="107" spans="1:12" x14ac:dyDescent="0.25">
      <c r="A107" s="156" t="s">
        <v>3875</v>
      </c>
      <c r="B107" s="93">
        <f>407-'اوراق بدون ریسک'!$AD$19</f>
        <v>193</v>
      </c>
      <c r="C107" s="157">
        <f t="shared" si="1"/>
        <v>2727697.0106393509</v>
      </c>
      <c r="D107" s="157">
        <f t="shared" si="1"/>
        <v>2713319.1791231213</v>
      </c>
      <c r="E107" s="157">
        <f t="shared" si="1"/>
        <v>2699017.5244914545</v>
      </c>
      <c r="F107" s="157">
        <f t="shared" si="1"/>
        <v>2684791.6410732749</v>
      </c>
      <c r="G107" s="157">
        <f t="shared" si="1"/>
        <v>2670641.1253690785</v>
      </c>
      <c r="H107" s="157">
        <f t="shared" si="1"/>
        <v>2656565.5760385501</v>
      </c>
      <c r="I107" s="157">
        <f t="shared" si="1"/>
        <v>2642564.5938898581</v>
      </c>
      <c r="J107" s="157">
        <f t="shared" si="1"/>
        <v>2628637.7818676713</v>
      </c>
      <c r="K107" s="157">
        <f t="shared" si="1"/>
        <v>2614784.7450415567</v>
      </c>
      <c r="L107" s="157">
        <f t="shared" si="2"/>
        <v>2669199.9502428574</v>
      </c>
    </row>
    <row r="108" spans="1:12" x14ac:dyDescent="0.25">
      <c r="A108" s="147" t="s">
        <v>3876</v>
      </c>
      <c r="B108" s="148">
        <f>573-'اوراق بدون ریسک'!$AD$19</f>
        <v>359</v>
      </c>
      <c r="C108" s="149">
        <f t="shared" si="1"/>
        <v>2513345.746838246</v>
      </c>
      <c r="D108" s="149">
        <f t="shared" si="1"/>
        <v>2488759.0148029919</v>
      </c>
      <c r="E108" s="149">
        <f t="shared" si="1"/>
        <v>2464413.4651542949</v>
      </c>
      <c r="F108" s="149">
        <f t="shared" si="1"/>
        <v>2440306.7255177605</v>
      </c>
      <c r="G108" s="149">
        <f t="shared" si="1"/>
        <v>2416436.446919038</v>
      </c>
      <c r="H108" s="149">
        <f t="shared" si="1"/>
        <v>2392800.3035511998</v>
      </c>
      <c r="I108" s="149">
        <f t="shared" si="1"/>
        <v>2369395.9925471465</v>
      </c>
      <c r="J108" s="149">
        <f t="shared" si="1"/>
        <v>2346221.2337520206</v>
      </c>
      <c r="K108" s="149">
        <f t="shared" si="1"/>
        <v>2323273.7694984055</v>
      </c>
      <c r="L108" s="152">
        <f t="shared" si="2"/>
        <v>2631960.9709114246</v>
      </c>
    </row>
    <row r="109" spans="1:12" x14ac:dyDescent="0.25">
      <c r="A109" s="156" t="s">
        <v>3877</v>
      </c>
      <c r="B109" s="93">
        <f>579-'اوراق بدون ریسک'!$AD$19</f>
        <v>365</v>
      </c>
      <c r="C109" s="157">
        <f t="shared" si="1"/>
        <v>2505921.8169501801</v>
      </c>
      <c r="D109" s="157">
        <f t="shared" si="1"/>
        <v>2481000.0467879344</v>
      </c>
      <c r="E109" s="157">
        <f t="shared" si="1"/>
        <v>2456326.7996522035</v>
      </c>
      <c r="F109" s="157">
        <f t="shared" si="1"/>
        <v>2431899.5905365474</v>
      </c>
      <c r="G109" s="157">
        <f t="shared" si="1"/>
        <v>2407715.9593497161</v>
      </c>
      <c r="H109" s="157">
        <f t="shared" si="1"/>
        <v>2383773.4706639838</v>
      </c>
      <c r="I109" s="157">
        <f t="shared" si="1"/>
        <v>2360069.7134687626</v>
      </c>
      <c r="J109" s="157">
        <f t="shared" si="1"/>
        <v>2336602.3009244213</v>
      </c>
      <c r="K109" s="157">
        <f t="shared" si="1"/>
        <v>2313368.8701191335</v>
      </c>
      <c r="L109" s="157">
        <f t="shared" si="2"/>
        <v>2601005.0905946563</v>
      </c>
    </row>
    <row r="110" spans="1:12" x14ac:dyDescent="0.25">
      <c r="A110" s="150" t="s">
        <v>3878</v>
      </c>
      <c r="B110" s="151">
        <f>753-'اوراق بدون ریسک'!$AD$19</f>
        <v>539</v>
      </c>
      <c r="C110" s="152">
        <f t="shared" si="1"/>
        <v>2299909.0753627531</v>
      </c>
      <c r="D110" s="152">
        <f t="shared" si="1"/>
        <v>2266212.526147835</v>
      </c>
      <c r="E110" s="152">
        <f t="shared" si="1"/>
        <v>2233010.5760815032</v>
      </c>
      <c r="F110" s="152">
        <f t="shared" si="1"/>
        <v>2200295.9521738025</v>
      </c>
      <c r="G110" s="152">
        <f t="shared" si="1"/>
        <v>2168061.4885779936</v>
      </c>
      <c r="H110" s="152">
        <f t="shared" si="1"/>
        <v>2136300.1250076857</v>
      </c>
      <c r="I110" s="152">
        <f t="shared" si="1"/>
        <v>2105004.9051810568</v>
      </c>
      <c r="J110" s="152">
        <f t="shared" si="1"/>
        <v>2074168.9752850281</v>
      </c>
      <c r="K110" s="152">
        <f t="shared" si="1"/>
        <v>2043785.5824628703</v>
      </c>
      <c r="L110" s="149">
        <f t="shared" si="2"/>
        <v>2300551.3643841236</v>
      </c>
    </row>
    <row r="111" spans="1:12" x14ac:dyDescent="0.25">
      <c r="A111" s="162" t="s">
        <v>3879</v>
      </c>
      <c r="B111" s="163">
        <f>757-'اوراق بدون ریسک'!$AD$19</f>
        <v>543</v>
      </c>
      <c r="C111" s="164">
        <f t="shared" si="1"/>
        <v>2295377.8562312555</v>
      </c>
      <c r="D111" s="164">
        <f t="shared" si="1"/>
        <v>2261499.9714247752</v>
      </c>
      <c r="E111" s="164">
        <f t="shared" si="1"/>
        <v>2228123.0034644897</v>
      </c>
      <c r="F111" s="164">
        <f t="shared" si="1"/>
        <v>2195239.5324039161</v>
      </c>
      <c r="G111" s="164">
        <f t="shared" si="1"/>
        <v>2162842.2484053713</v>
      </c>
      <c r="H111" s="164">
        <f t="shared" si="1"/>
        <v>2130923.9501014631</v>
      </c>
      <c r="I111" s="164">
        <f t="shared" si="1"/>
        <v>2099477.5429846584</v>
      </c>
      <c r="J111" s="164">
        <f t="shared" si="1"/>
        <v>2068496.0378177902</v>
      </c>
      <c r="K111" s="164">
        <f t="shared" si="1"/>
        <v>2037972.5490689592</v>
      </c>
      <c r="L111" s="157">
        <f t="shared" si="2"/>
        <v>2290367.0818285351</v>
      </c>
    </row>
    <row r="112" spans="1:12" x14ac:dyDescent="0.25">
      <c r="A112" s="147" t="s">
        <v>3880</v>
      </c>
      <c r="B112" s="148">
        <f>774-'اوراق بدون ریسک'!$AD$19</f>
        <v>560</v>
      </c>
      <c r="C112" s="149">
        <f t="shared" si="1"/>
        <v>2276219.5576247228</v>
      </c>
      <c r="D112" s="149">
        <f t="shared" si="1"/>
        <v>2241580.6955999872</v>
      </c>
      <c r="E112" s="149">
        <f t="shared" si="1"/>
        <v>2207469.8848543367</v>
      </c>
      <c r="F112" s="149">
        <f t="shared" si="1"/>
        <v>2173879.0613933122</v>
      </c>
      <c r="G112" s="149">
        <f t="shared" si="1"/>
        <v>2140800.2845858322</v>
      </c>
      <c r="H112" s="149">
        <f t="shared" si="1"/>
        <v>2108225.7352720401</v>
      </c>
      <c r="I112" s="149">
        <f t="shared" si="1"/>
        <v>2076147.7139039626</v>
      </c>
      <c r="J112" s="149">
        <f t="shared" si="1"/>
        <v>2044558.6387115959</v>
      </c>
      <c r="K112" s="149">
        <f t="shared" si="1"/>
        <v>2013451.0438978826</v>
      </c>
      <c r="L112" s="152">
        <f t="shared" si="2"/>
        <v>2013848.0733246608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2007900.2933702418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1982817.5778619025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4267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4281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4208</v>
      </c>
      <c r="M20" t="s">
        <v>4035</v>
      </c>
      <c r="N20" t="s">
        <v>4209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4280</v>
      </c>
      <c r="B191" s="38">
        <v>-5000</v>
      </c>
      <c r="C191" s="73" t="s">
        <v>4281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opLeftCell="L16" zoomScaleNormal="100" workbookViewId="0">
      <selection activeCell="P47" sqref="P4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96" bestFit="1" customWidth="1"/>
    <col min="45" max="45" width="15.140625" style="96" bestFit="1" customWidth="1"/>
    <col min="46" max="46" width="6.28515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-L77*12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 t="s">
        <v>4168</v>
      </c>
      <c r="AP6" s="99" t="s">
        <v>267</v>
      </c>
      <c r="AQ6" s="99" t="s">
        <v>180</v>
      </c>
      <c r="AR6" s="99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1</v>
      </c>
      <c r="AP7" s="113">
        <v>4960000</v>
      </c>
      <c r="AQ7" s="99" t="s">
        <v>4169</v>
      </c>
      <c r="AR7" s="99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2</v>
      </c>
      <c r="AP8" s="113">
        <v>15000000</v>
      </c>
      <c r="AQ8" s="99" t="s">
        <v>4160</v>
      </c>
      <c r="AR8" s="99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3</v>
      </c>
      <c r="AP9" s="113">
        <v>15000000</v>
      </c>
      <c r="AQ9" s="99" t="s">
        <v>4161</v>
      </c>
      <c r="AR9" s="99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>
        <v>4</v>
      </c>
      <c r="AP10" s="172">
        <v>3000000</v>
      </c>
      <c r="AQ10" s="99" t="s">
        <v>4170</v>
      </c>
      <c r="AR10" s="99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>
        <v>5</v>
      </c>
      <c r="AP11" s="172">
        <v>2500000</v>
      </c>
      <c r="AQ11" s="99" t="s">
        <v>4162</v>
      </c>
      <c r="AR11" s="99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>
        <v>6</v>
      </c>
      <c r="AP12" s="172">
        <v>2500000</v>
      </c>
      <c r="AQ12" s="99" t="s">
        <v>4172</v>
      </c>
      <c r="AR12" s="99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>
        <v>7</v>
      </c>
      <c r="AP13" s="172">
        <v>-150000</v>
      </c>
      <c r="AQ13" s="99" t="s">
        <v>4181</v>
      </c>
      <c r="AR13" s="99" t="s">
        <v>4197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5"/>
      <c r="S14" s="116"/>
      <c r="T14" s="116"/>
      <c r="U14" s="115"/>
      <c r="V14" s="115"/>
      <c r="W14" s="116"/>
      <c r="X14" s="115"/>
      <c r="Y14" s="115"/>
      <c r="AO14" s="99">
        <v>8</v>
      </c>
      <c r="AP14" s="172">
        <v>-250000</v>
      </c>
      <c r="AQ14" s="99" t="s">
        <v>4187</v>
      </c>
      <c r="AR14" s="99" t="s">
        <v>4203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R15" s="115"/>
      <c r="S15" s="116"/>
      <c r="T15" s="116"/>
      <c r="U15" s="115"/>
      <c r="V15" s="115"/>
      <c r="W15" s="116"/>
      <c r="X15" s="115"/>
      <c r="Y15" s="115"/>
      <c r="AO15" s="99">
        <v>9</v>
      </c>
      <c r="AP15" s="172">
        <v>-696454</v>
      </c>
      <c r="AQ15" s="99" t="s">
        <v>4187</v>
      </c>
      <c r="AR15" s="99" t="s">
        <v>4198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9">
        <v>10</v>
      </c>
      <c r="AP16" s="172">
        <v>-2000000</v>
      </c>
      <c r="AQ16" s="99" t="s">
        <v>4210</v>
      </c>
      <c r="AR16" s="99" t="s">
        <v>4211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-7896950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9">
        <v>11</v>
      </c>
      <c r="AP17" s="172">
        <v>-3600000</v>
      </c>
      <c r="AQ17" s="99" t="s">
        <v>4210</v>
      </c>
      <c r="AR17" s="99" t="s">
        <v>4212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9">
        <v>12</v>
      </c>
      <c r="AP18" s="172">
        <v>-400000</v>
      </c>
      <c r="AQ18" s="99" t="s">
        <v>4217</v>
      </c>
      <c r="AR18" s="99" t="s">
        <v>4218</v>
      </c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-مهر97!D71</f>
        <v>48940586</v>
      </c>
      <c r="M19" s="171" t="s">
        <v>4207</v>
      </c>
      <c r="N19" s="113">
        <f>O19*P19</f>
        <v>10470104</v>
      </c>
      <c r="O19" s="99">
        <v>48028</v>
      </c>
      <c r="P19" s="99">
        <f>P33</f>
        <v>218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9">
        <v>13</v>
      </c>
      <c r="AP19" s="172">
        <v>-1000000</v>
      </c>
      <c r="AQ19" s="99" t="s">
        <v>4269</v>
      </c>
      <c r="AR19" s="99" t="s">
        <v>4270</v>
      </c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4298</v>
      </c>
      <c r="N20" s="113">
        <f>O20*P20</f>
        <v>66294</v>
      </c>
      <c r="O20" s="99">
        <v>174</v>
      </c>
      <c r="P20" s="99">
        <f>P35</f>
        <v>381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198</v>
      </c>
      <c r="AK20" s="113">
        <f>AH20*AJ20</f>
        <v>3564000000</v>
      </c>
      <c r="AL20" s="99"/>
      <c r="AN20" s="96"/>
      <c r="AO20" s="99">
        <v>14</v>
      </c>
      <c r="AP20" s="172">
        <v>-10335229</v>
      </c>
      <c r="AQ20" s="99" t="s">
        <v>4328</v>
      </c>
      <c r="AR20" s="99" t="s">
        <v>4329</v>
      </c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L46</f>
        <v>278063788</v>
      </c>
      <c r="G21" s="29">
        <f t="shared" si="0"/>
        <v>-16063788</v>
      </c>
      <c r="H21" s="11" t="s">
        <v>4233</v>
      </c>
      <c r="J21" s="25"/>
      <c r="K21" s="171" t="s">
        <v>456</v>
      </c>
      <c r="L21" s="117">
        <v>235000</v>
      </c>
      <c r="M21" s="171" t="s">
        <v>4313</v>
      </c>
      <c r="N21" s="113">
        <f>O21*P21</f>
        <v>55025</v>
      </c>
      <c r="O21" s="99">
        <v>155</v>
      </c>
      <c r="P21" s="99">
        <f>P36</f>
        <v>355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197</v>
      </c>
      <c r="AK21" s="113">
        <f t="shared" ref="AK21:AK82" si="5">AH21*AJ21</f>
        <v>492500000</v>
      </c>
      <c r="AL21" s="99"/>
      <c r="AN21" s="96"/>
      <c r="AO21" s="99"/>
      <c r="AP21" s="172"/>
      <c r="AQ21" s="99"/>
      <c r="AR21" s="99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757</v>
      </c>
      <c r="N22" s="113">
        <v>3000000</v>
      </c>
      <c r="O22" s="22"/>
      <c r="Q22" s="96"/>
      <c r="R22" s="172">
        <v>4200000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196</v>
      </c>
      <c r="AK22" s="113">
        <f t="shared" si="5"/>
        <v>1568000000</v>
      </c>
      <c r="AL22" s="99"/>
      <c r="AN22" s="96"/>
      <c r="AO22" s="99"/>
      <c r="AP22" s="172"/>
      <c r="AQ22" s="99"/>
      <c r="AR22" s="99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 t="s">
        <v>919</v>
      </c>
      <c r="L23" s="117">
        <v>4800000</v>
      </c>
      <c r="M23" s="171" t="s">
        <v>4159</v>
      </c>
      <c r="N23" s="113">
        <f>-1*L19</f>
        <v>-48940586</v>
      </c>
      <c r="R23" s="115"/>
      <c r="S23" s="115" t="s">
        <v>25</v>
      </c>
      <c r="T23" s="115"/>
      <c r="U23" s="115"/>
      <c r="V23" s="115"/>
      <c r="W23" s="115"/>
      <c r="X23" s="115"/>
      <c r="Y23" s="115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195</v>
      </c>
      <c r="AK23" s="113">
        <f t="shared" si="5"/>
        <v>-15512640</v>
      </c>
      <c r="AL23" s="99"/>
      <c r="AN23" s="96"/>
      <c r="AO23" s="99"/>
      <c r="AP23" s="99"/>
      <c r="AQ23" s="99" t="s">
        <v>25</v>
      </c>
      <c r="AR23" s="99"/>
      <c r="AT23" s="96"/>
      <c r="AU23" s="96"/>
      <c r="AV23" s="96"/>
      <c r="AW23" s="96"/>
      <c r="AX23" s="96"/>
      <c r="AY23" s="96"/>
      <c r="AZ23" s="96"/>
    </row>
    <row r="24" spans="1:52" ht="21" x14ac:dyDescent="0.3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 t="s">
        <v>930</v>
      </c>
      <c r="L24" s="117">
        <v>0</v>
      </c>
      <c r="M24" s="171" t="s">
        <v>754</v>
      </c>
      <c r="N24" s="113">
        <v>500000</v>
      </c>
      <c r="P24" t="s">
        <v>25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194</v>
      </c>
      <c r="AK24" s="113">
        <f t="shared" si="5"/>
        <v>32107000</v>
      </c>
      <c r="AL24" s="99"/>
      <c r="AN24" s="96"/>
      <c r="AO24" s="99"/>
      <c r="AP24" s="95">
        <f>SUM(AP7:AP23)</f>
        <v>24528317</v>
      </c>
      <c r="AQ24" s="99"/>
      <c r="AR24" s="183" t="s">
        <v>4330</v>
      </c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 t="s">
        <v>1088</v>
      </c>
      <c r="L25" s="117">
        <f>65*R22</f>
        <v>273000000</v>
      </c>
      <c r="M25" s="171" t="s">
        <v>761</v>
      </c>
      <c r="N25" s="113">
        <v>1200000</v>
      </c>
      <c r="O25" t="s">
        <v>25</v>
      </c>
      <c r="R25" s="115"/>
      <c r="S25" s="115"/>
      <c r="T25" s="115"/>
      <c r="U25" s="115"/>
      <c r="W25" s="115"/>
      <c r="X25" s="115"/>
      <c r="Y25" s="115"/>
      <c r="Z25" s="115"/>
      <c r="AA25" s="115"/>
      <c r="AB25" s="115"/>
      <c r="AC25" s="115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182</v>
      </c>
      <c r="AK25" s="113">
        <f t="shared" si="5"/>
        <v>-5247119514</v>
      </c>
      <c r="AL25" s="99"/>
      <c r="AN25" s="96"/>
      <c r="AO25" s="99"/>
      <c r="AP25" s="99" t="s">
        <v>6</v>
      </c>
      <c r="AQ25" s="99"/>
      <c r="AR25" s="186" t="s">
        <v>4332</v>
      </c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4157</v>
      </c>
      <c r="L26" s="117">
        <v>-50000000</v>
      </c>
      <c r="M26" s="73"/>
      <c r="N26" s="113"/>
      <c r="O26" s="22"/>
      <c r="S26" s="26" t="s">
        <v>25</v>
      </c>
      <c r="W26" s="115"/>
      <c r="X26" s="115"/>
      <c r="Y26" s="115"/>
      <c r="Z26" s="115"/>
      <c r="AA26" s="115"/>
      <c r="AB26" s="115"/>
      <c r="AC26" s="115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176</v>
      </c>
      <c r="AK26" s="113">
        <f t="shared" si="5"/>
        <v>3256000000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/>
      <c r="L27" s="117"/>
      <c r="M27" s="171" t="s">
        <v>1088</v>
      </c>
      <c r="N27" s="113">
        <f>75*R22</f>
        <v>315000000</v>
      </c>
      <c r="P27" t="s">
        <v>25</v>
      </c>
      <c r="W27" s="115"/>
      <c r="X27" s="115"/>
      <c r="Y27" s="115"/>
      <c r="Z27" s="115"/>
      <c r="AA27" s="115"/>
      <c r="AB27" s="115"/>
      <c r="AC27" s="115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175</v>
      </c>
      <c r="AK27" s="113">
        <f t="shared" si="5"/>
        <v>-3246250000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4305</v>
      </c>
      <c r="L28" s="117">
        <v>65000</v>
      </c>
      <c r="M28" s="171" t="s">
        <v>4214</v>
      </c>
      <c r="N28" s="113">
        <v>-20000000</v>
      </c>
      <c r="V28" s="26"/>
      <c r="W28" s="115"/>
      <c r="X28" s="115"/>
      <c r="Y28" s="115"/>
      <c r="Z28" s="115"/>
      <c r="AA28" s="115"/>
      <c r="AB28" s="115"/>
      <c r="AC28" s="115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174</v>
      </c>
      <c r="AK28" s="113">
        <f t="shared" si="5"/>
        <v>-11303214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/>
      <c r="L29" s="117"/>
      <c r="M29" s="171" t="s">
        <v>4215</v>
      </c>
      <c r="N29" s="113">
        <v>-50000000</v>
      </c>
      <c r="O29" s="96"/>
      <c r="P29" s="96"/>
      <c r="V29" s="26"/>
      <c r="W29" s="115"/>
      <c r="X29" s="115"/>
      <c r="Y29" s="115"/>
      <c r="Z29" s="115"/>
      <c r="AA29" s="115"/>
      <c r="AB29" s="115"/>
      <c r="AC29" s="115"/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169</v>
      </c>
      <c r="AK29" s="113">
        <f t="shared" si="5"/>
        <v>1081600000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99"/>
      <c r="L30" s="99"/>
      <c r="M30" s="171" t="s">
        <v>3893</v>
      </c>
      <c r="N30" s="113">
        <v>10394927</v>
      </c>
      <c r="O30" s="99" t="s">
        <v>939</v>
      </c>
      <c r="P30" s="99" t="s">
        <v>3934</v>
      </c>
      <c r="Q30" s="73"/>
      <c r="R30" s="112"/>
      <c r="S30" s="112"/>
      <c r="T30" s="112"/>
      <c r="V30" s="26"/>
      <c r="W30" s="122"/>
      <c r="X30" s="115"/>
      <c r="Y30" s="115"/>
      <c r="Z30" s="115"/>
      <c r="AA30" s="115"/>
      <c r="AB30" s="115"/>
      <c r="AC30" s="115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168</v>
      </c>
      <c r="AK30" s="113">
        <f t="shared" si="5"/>
        <v>-28560000</v>
      </c>
      <c r="AL30" s="99"/>
      <c r="AN30" s="96"/>
      <c r="AT30" s="96"/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99"/>
      <c r="L31" s="99"/>
      <c r="M31" s="171"/>
      <c r="N31" s="113"/>
      <c r="O31" s="99"/>
      <c r="P31" s="99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15"/>
      <c r="X31" s="115"/>
      <c r="Y31" s="115"/>
      <c r="Z31" s="115"/>
      <c r="AA31" s="115"/>
      <c r="AB31" s="115"/>
      <c r="AC31" s="115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163</v>
      </c>
      <c r="AK31" s="113">
        <f t="shared" si="5"/>
        <v>-1026900000</v>
      </c>
      <c r="AL31" s="99"/>
      <c r="AN31" s="96"/>
      <c r="AT31" s="96"/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17"/>
      <c r="M32" s="32"/>
      <c r="N32" s="113"/>
      <c r="O32" s="99"/>
      <c r="P32" s="99"/>
      <c r="Q32" s="172">
        <v>233479974</v>
      </c>
      <c r="R32" s="171" t="s">
        <v>4187</v>
      </c>
      <c r="S32" s="171">
        <v>28</v>
      </c>
      <c r="T32" s="171" t="s">
        <v>4334</v>
      </c>
      <c r="V32" s="26"/>
      <c r="W32" s="115"/>
      <c r="X32" s="115"/>
      <c r="Y32" s="115"/>
      <c r="Z32" s="115"/>
      <c r="AA32" s="115"/>
      <c r="AB32" s="115"/>
      <c r="AC32" s="115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162</v>
      </c>
      <c r="AK32" s="113">
        <f t="shared" si="5"/>
        <v>-8426430</v>
      </c>
      <c r="AL32" s="99"/>
      <c r="AN32" s="96"/>
      <c r="AT32" s="96"/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17"/>
      <c r="M33" s="171" t="s">
        <v>4194</v>
      </c>
      <c r="N33" s="113">
        <f>O33*P33</f>
        <v>264581804</v>
      </c>
      <c r="O33" s="99">
        <v>1213678</v>
      </c>
      <c r="P33" s="99">
        <v>218</v>
      </c>
      <c r="Q33" s="172">
        <v>3759803</v>
      </c>
      <c r="R33" s="171" t="s">
        <v>4291</v>
      </c>
      <c r="S33" s="171">
        <f>S32-21</f>
        <v>7</v>
      </c>
      <c r="T33" s="171" t="s">
        <v>4302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146</v>
      </c>
      <c r="AK33" s="113">
        <f t="shared" si="5"/>
        <v>2922540400</v>
      </c>
      <c r="AL33" s="99"/>
      <c r="AN33" s="96"/>
      <c r="AT33" s="96"/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99" t="s">
        <v>4290</v>
      </c>
      <c r="N34" s="113">
        <f>O34*P34</f>
        <v>4287188</v>
      </c>
      <c r="O34" s="99">
        <v>19666</v>
      </c>
      <c r="P34" s="99">
        <f>P33</f>
        <v>218</v>
      </c>
      <c r="Q34" s="172">
        <v>57680</v>
      </c>
      <c r="R34" s="171" t="s">
        <v>4295</v>
      </c>
      <c r="S34" s="171">
        <f>S33-2</f>
        <v>5</v>
      </c>
      <c r="T34" s="171" t="s">
        <v>4301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146</v>
      </c>
      <c r="AK34" s="113">
        <f t="shared" si="5"/>
        <v>148112036</v>
      </c>
      <c r="AL34" s="99"/>
      <c r="AN34" s="96"/>
      <c r="AT34" s="9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358188786.24271059</v>
      </c>
      <c r="F35" s="3"/>
      <c r="G35" s="11"/>
      <c r="H35" s="11"/>
      <c r="K35" s="56"/>
      <c r="L35" s="117"/>
      <c r="M35" s="99" t="s">
        <v>4298</v>
      </c>
      <c r="N35" s="113">
        <f>O35*P35</f>
        <v>66294</v>
      </c>
      <c r="O35" s="99">
        <v>174</v>
      </c>
      <c r="P35" s="99">
        <v>381</v>
      </c>
      <c r="Q35" s="172">
        <v>54501</v>
      </c>
      <c r="R35" s="171" t="s">
        <v>4312</v>
      </c>
      <c r="S35" s="171">
        <f>S34-2</f>
        <v>3</v>
      </c>
      <c r="T35" s="171" t="s">
        <v>4311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134</v>
      </c>
      <c r="AK35" s="113">
        <f t="shared" si="5"/>
        <v>48240000</v>
      </c>
      <c r="AL35" s="99"/>
      <c r="AN35" s="96"/>
      <c r="AT35" s="9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366196750.44670284</v>
      </c>
      <c r="F36" s="3"/>
      <c r="G36" s="11"/>
      <c r="H36" s="11"/>
      <c r="K36" s="56"/>
      <c r="L36" s="117"/>
      <c r="M36" s="99" t="s">
        <v>4313</v>
      </c>
      <c r="N36" s="113">
        <f>O36*P36</f>
        <v>55025</v>
      </c>
      <c r="O36" s="188">
        <v>155</v>
      </c>
      <c r="P36" s="99">
        <v>355</v>
      </c>
      <c r="Q36" s="172">
        <v>1730284</v>
      </c>
      <c r="R36" s="171" t="s">
        <v>4328</v>
      </c>
      <c r="S36" s="171">
        <f>S35-3</f>
        <v>0</v>
      </c>
      <c r="T36" s="171" t="s">
        <v>4331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132</v>
      </c>
      <c r="AK36" s="113">
        <f t="shared" si="5"/>
        <v>-46200000</v>
      </c>
      <c r="AL36" s="99"/>
      <c r="AN36" s="96"/>
      <c r="AT36" s="9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374373315.81956631</v>
      </c>
      <c r="F37" s="3"/>
      <c r="G37" s="11"/>
      <c r="H37" s="11"/>
      <c r="K37" s="56"/>
      <c r="L37" s="117"/>
      <c r="M37" s="99" t="s">
        <v>4333</v>
      </c>
      <c r="N37" s="113">
        <f>O37*P37</f>
        <v>1729000</v>
      </c>
      <c r="O37" s="69">
        <v>26</v>
      </c>
      <c r="P37" s="69">
        <v>66500</v>
      </c>
      <c r="Q37" s="172"/>
      <c r="R37" s="171"/>
      <c r="S37" s="171"/>
      <c r="T37" s="171" t="s">
        <v>25</v>
      </c>
      <c r="U37" s="96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132</v>
      </c>
      <c r="AK37" s="113">
        <f t="shared" si="5"/>
        <v>132000</v>
      </c>
      <c r="AL37" s="99"/>
      <c r="AN37" s="96"/>
      <c r="AT37" s="96"/>
      <c r="AU37" s="96"/>
      <c r="AV37" s="96"/>
      <c r="AW37" s="96"/>
      <c r="AX37" s="96"/>
      <c r="AY37" s="96"/>
      <c r="AZ37" s="96"/>
    </row>
    <row r="38" spans="1:5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382721938.80352634</v>
      </c>
      <c r="F38" s="3"/>
      <c r="G38" s="11"/>
      <c r="H38" s="11"/>
      <c r="K38" s="56"/>
      <c r="L38" s="117"/>
      <c r="M38" s="99"/>
      <c r="N38" s="99"/>
      <c r="O38" s="122"/>
      <c r="P38" s="122"/>
      <c r="Q38" s="113">
        <f>SUM(N31:N37)-SUM(Q32:Q37)</f>
        <v>31637069</v>
      </c>
      <c r="R38" s="112"/>
      <c r="S38" s="112"/>
      <c r="T38" s="112"/>
      <c r="U38" s="96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131</v>
      </c>
      <c r="AK38" s="113">
        <f t="shared" si="5"/>
        <v>4402910000</v>
      </c>
      <c r="AL38" s="99"/>
      <c r="AN38" s="96"/>
      <c r="AT38" s="96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391246145.81384128</v>
      </c>
      <c r="F39" s="3"/>
      <c r="G39" s="11"/>
      <c r="H39" s="11"/>
      <c r="K39" s="99"/>
      <c r="L39" s="99"/>
      <c r="M39" s="73" t="s">
        <v>4276</v>
      </c>
      <c r="N39" s="117">
        <v>-11250229</v>
      </c>
      <c r="R39" t="s">
        <v>25</v>
      </c>
      <c r="T39" t="s">
        <v>25</v>
      </c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127</v>
      </c>
      <c r="AK39" s="113">
        <f t="shared" si="5"/>
        <v>-1981200000</v>
      </c>
      <c r="AL39" s="99"/>
      <c r="AN39" s="96"/>
      <c r="AT39" s="96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399949534.64670491</v>
      </c>
      <c r="F40" s="3"/>
      <c r="G40" s="11"/>
      <c r="H40" s="11"/>
      <c r="K40" s="99"/>
      <c r="L40" s="99"/>
      <c r="M40" s="73"/>
      <c r="N40" s="117"/>
      <c r="O40" s="96" t="s">
        <v>25</v>
      </c>
      <c r="Q40" t="s">
        <v>25</v>
      </c>
      <c r="R40" t="s">
        <v>25</v>
      </c>
      <c r="T40" t="s">
        <v>25</v>
      </c>
      <c r="V40"/>
      <c r="W40" s="115"/>
      <c r="X40" s="115"/>
      <c r="Y40" s="115"/>
      <c r="Z40" s="115"/>
      <c r="AA40" s="115"/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124</v>
      </c>
      <c r="AK40" s="113">
        <f t="shared" si="5"/>
        <v>930000000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408835775.91539168</v>
      </c>
      <c r="F41" s="3"/>
      <c r="G41" s="11"/>
      <c r="H41" s="11"/>
      <c r="K41" s="99"/>
      <c r="L41" s="99"/>
      <c r="M41" s="171" t="s">
        <v>1156</v>
      </c>
      <c r="N41" s="117">
        <v>14908</v>
      </c>
      <c r="O41" s="96" t="s">
        <v>25</v>
      </c>
      <c r="P41" t="s">
        <v>25</v>
      </c>
      <c r="Q41" t="s">
        <v>25</v>
      </c>
      <c r="S41" t="s">
        <v>25</v>
      </c>
      <c r="T41" t="s">
        <v>951</v>
      </c>
      <c r="U41">
        <v>6.3E-3</v>
      </c>
      <c r="V41"/>
      <c r="W41" s="115"/>
      <c r="X41" s="115"/>
      <c r="Y41" s="115"/>
      <c r="Z41" s="115"/>
      <c r="AA41" s="115" t="s">
        <v>25</v>
      </c>
      <c r="AB41" s="115"/>
      <c r="AC41" s="115"/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120</v>
      </c>
      <c r="AK41" s="113">
        <f t="shared" si="5"/>
        <v>-11760000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417908614.51520973</v>
      </c>
      <c r="F42" s="3"/>
      <c r="G42" s="11"/>
      <c r="H42" s="11"/>
      <c r="K42" s="99"/>
      <c r="L42" s="99"/>
      <c r="M42" s="171" t="s">
        <v>1157</v>
      </c>
      <c r="N42" s="117">
        <v>5282</v>
      </c>
      <c r="O42" s="96"/>
      <c r="Q42" s="96">
        <f>O33+O34+O19-O43-O44</f>
        <v>1056442</v>
      </c>
      <c r="R42" s="113">
        <f>Q42*P33+N19</f>
        <v>240774460</v>
      </c>
      <c r="S42" t="s">
        <v>25</v>
      </c>
      <c r="T42" t="s">
        <v>61</v>
      </c>
      <c r="U42">
        <v>4.8999999999999998E-3</v>
      </c>
      <c r="AB42" t="s">
        <v>25</v>
      </c>
      <c r="AC42" t="s">
        <v>25</v>
      </c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119</v>
      </c>
      <c r="AK42" s="113">
        <f t="shared" si="5"/>
        <v>-3094000000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427171871.11783922</v>
      </c>
      <c r="F43" s="3"/>
      <c r="G43" s="11"/>
      <c r="H43" s="11"/>
      <c r="K43" s="171"/>
      <c r="L43" s="117"/>
      <c r="M43" s="171" t="s">
        <v>4195</v>
      </c>
      <c r="N43" s="113">
        <f>-O43*P33</f>
        <v>-28891976</v>
      </c>
      <c r="O43" s="99">
        <v>132532</v>
      </c>
      <c r="P43" s="99">
        <f>P33</f>
        <v>218</v>
      </c>
      <c r="Q43" t="s">
        <v>4309</v>
      </c>
      <c r="R43" t="s">
        <v>4306</v>
      </c>
      <c r="T43" t="s">
        <v>6</v>
      </c>
      <c r="U43">
        <f>U41+U42</f>
        <v>1.12E-2</v>
      </c>
      <c r="V43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119</v>
      </c>
      <c r="AK43" s="113">
        <f t="shared" si="5"/>
        <v>2975000000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436629443.69564456</v>
      </c>
      <c r="F44" s="3"/>
      <c r="G44" s="11"/>
      <c r="H44" s="11"/>
      <c r="K44" s="171" t="s">
        <v>25</v>
      </c>
      <c r="L44" s="117"/>
      <c r="M44" s="171" t="s">
        <v>4196</v>
      </c>
      <c r="N44" s="113">
        <f>-O44*P44</f>
        <v>-20142764</v>
      </c>
      <c r="O44" s="99">
        <v>92398</v>
      </c>
      <c r="P44" s="99">
        <f>P43</f>
        <v>218</v>
      </c>
      <c r="R44" t="s">
        <v>25</v>
      </c>
      <c r="T44" t="s">
        <v>25</v>
      </c>
      <c r="V44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118</v>
      </c>
      <c r="AK44" s="113">
        <f t="shared" si="5"/>
        <v>12980000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446285309.07656044</v>
      </c>
      <c r="F45" s="3"/>
      <c r="G45" s="11"/>
      <c r="H45" s="11"/>
      <c r="K45" s="171"/>
      <c r="L45" s="117"/>
      <c r="M45" s="171"/>
      <c r="N45" s="113"/>
      <c r="O45" s="96"/>
      <c r="P45" s="96"/>
      <c r="V45"/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117</v>
      </c>
      <c r="AK45" s="113">
        <f t="shared" si="5"/>
        <v>44460000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456143524.53016472</v>
      </c>
      <c r="F46" s="3"/>
      <c r="G46" s="11"/>
      <c r="H46" s="11"/>
      <c r="K46" s="171" t="s">
        <v>598</v>
      </c>
      <c r="L46" s="113">
        <f>SUM(L16:L39)</f>
        <v>278063788</v>
      </c>
      <c r="M46" s="171"/>
      <c r="N46" s="113">
        <f>SUM(N16:N45)</f>
        <v>424352346</v>
      </c>
      <c r="O46" t="s">
        <v>25</v>
      </c>
      <c r="V46"/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110</v>
      </c>
      <c r="AK46" s="113">
        <f t="shared" si="5"/>
        <v>49500000</v>
      </c>
      <c r="AL46" s="99"/>
      <c r="AO46" s="99" t="s">
        <v>1079</v>
      </c>
      <c r="AP46" s="99" t="s">
        <v>267</v>
      </c>
      <c r="AQ46" s="99" t="s">
        <v>180</v>
      </c>
      <c r="AR46" s="99"/>
    </row>
    <row r="47" spans="1:5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466208229.38556182</v>
      </c>
      <c r="F47" s="3"/>
      <c r="G47" s="11"/>
      <c r="H47" s="11"/>
      <c r="K47" s="171" t="s">
        <v>599</v>
      </c>
      <c r="L47" s="113">
        <f>L16+L17+L21</f>
        <v>258202</v>
      </c>
      <c r="M47" s="171"/>
      <c r="N47" s="113">
        <f>N16+N17+N24</f>
        <v>-7383645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104</v>
      </c>
      <c r="AK47" s="113">
        <f t="shared" si="5"/>
        <v>291200000</v>
      </c>
      <c r="AL47" s="99"/>
      <c r="AO47" s="99">
        <v>1</v>
      </c>
      <c r="AP47" s="172">
        <v>5000000</v>
      </c>
      <c r="AQ47" s="99" t="s">
        <v>4161</v>
      </c>
      <c r="AR47" s="99" t="s">
        <v>4199</v>
      </c>
    </row>
    <row r="48" spans="1:5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476483646.68171477</v>
      </c>
      <c r="F48" s="3"/>
      <c r="G48" s="11"/>
      <c r="H48" s="11" t="s">
        <v>611</v>
      </c>
      <c r="K48" s="56" t="s">
        <v>716</v>
      </c>
      <c r="L48" s="1">
        <f>L46+N7</f>
        <v>348063788</v>
      </c>
      <c r="M48" s="113"/>
      <c r="N48" s="171"/>
      <c r="O48" s="22"/>
      <c r="P48" t="s">
        <v>25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103</v>
      </c>
      <c r="AK48" s="113">
        <f t="shared" si="5"/>
        <v>-154500000</v>
      </c>
      <c r="AL48" s="99"/>
      <c r="AO48" s="99">
        <v>2</v>
      </c>
      <c r="AP48" s="172">
        <v>13000000</v>
      </c>
      <c r="AQ48" s="99" t="s">
        <v>4172</v>
      </c>
      <c r="AR48" s="99" t="s">
        <v>4200</v>
      </c>
    </row>
    <row r="49" spans="1:51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486974084.8508752</v>
      </c>
      <c r="F49" s="3"/>
      <c r="G49" s="11"/>
      <c r="H49" s="11"/>
      <c r="M49" t="s">
        <v>4315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103</v>
      </c>
      <c r="AK49" s="113">
        <f t="shared" si="5"/>
        <v>314150000</v>
      </c>
      <c r="AL49" s="99"/>
      <c r="AO49" s="99">
        <v>3</v>
      </c>
      <c r="AP49" s="172">
        <v>-168093</v>
      </c>
      <c r="AQ49" s="99" t="s">
        <v>4187</v>
      </c>
      <c r="AR49" s="99" t="s">
        <v>4201</v>
      </c>
    </row>
    <row r="50" spans="1:51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497683939.43577409</v>
      </c>
      <c r="F50" s="51"/>
      <c r="G50" s="11"/>
      <c r="H50" s="11"/>
      <c r="M50" s="25" t="s">
        <v>4118</v>
      </c>
      <c r="O50" t="s">
        <v>25</v>
      </c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100</v>
      </c>
      <c r="AK50" s="113">
        <f t="shared" si="5"/>
        <v>-829961200</v>
      </c>
      <c r="AL50" s="99"/>
      <c r="AO50" s="99"/>
      <c r="AP50" s="172"/>
      <c r="AQ50" s="99"/>
      <c r="AR50" s="99"/>
    </row>
    <row r="51" spans="1:51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508617694.84124976</v>
      </c>
      <c r="F51" s="3"/>
      <c r="G51" s="11"/>
      <c r="H51" s="11"/>
      <c r="M51" s="25" t="s">
        <v>4086</v>
      </c>
      <c r="P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98</v>
      </c>
      <c r="AK51" s="113">
        <f t="shared" si="5"/>
        <v>490000000</v>
      </c>
      <c r="AL51" s="99"/>
      <c r="AO51" s="99"/>
      <c r="AP51" s="172"/>
      <c r="AQ51" s="99"/>
      <c r="AR51" s="99"/>
    </row>
    <row r="52" spans="1:51" ht="30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519779926.12100261</v>
      </c>
      <c r="F52" s="3"/>
      <c r="G52" s="11"/>
      <c r="H52" s="11"/>
      <c r="M52" s="180" t="s">
        <v>4122</v>
      </c>
      <c r="Q52" s="115"/>
      <c r="R52" s="115"/>
      <c r="S52" s="115"/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84</v>
      </c>
      <c r="AK52" s="113">
        <f t="shared" si="5"/>
        <v>-7560000</v>
      </c>
      <c r="AL52" s="99"/>
      <c r="AO52" s="99"/>
      <c r="AP52" s="172"/>
      <c r="AQ52" s="99"/>
      <c r="AR52" s="99"/>
    </row>
    <row r="53" spans="1:51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531175300.80017978</v>
      </c>
      <c r="F53" s="3"/>
      <c r="G53" s="11"/>
      <c r="H53" s="11"/>
      <c r="K53" s="3"/>
      <c r="L53" s="11" t="s">
        <v>304</v>
      </c>
      <c r="M53" s="122"/>
      <c r="N53" s="96"/>
      <c r="P53" s="115"/>
      <c r="Q53" s="189"/>
      <c r="R53" s="189"/>
      <c r="S53" s="115"/>
      <c r="AB53" t="s">
        <v>25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83</v>
      </c>
      <c r="AK53" s="113">
        <f t="shared" si="5"/>
        <v>464800000</v>
      </c>
      <c r="AL53" s="99"/>
      <c r="AO53" s="99"/>
      <c r="AP53" s="172"/>
      <c r="AQ53" s="99"/>
      <c r="AR53" s="99"/>
    </row>
    <row r="54" spans="1:51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542808580.73450804</v>
      </c>
      <c r="F54" s="3"/>
      <c r="G54" s="11"/>
      <c r="H54" s="11"/>
      <c r="K54" s="1" t="s">
        <v>305</v>
      </c>
      <c r="L54" s="1">
        <v>70000</v>
      </c>
      <c r="M54" s="122"/>
      <c r="N54" s="96" t="s">
        <v>25</v>
      </c>
      <c r="P54" s="115"/>
      <c r="Q54" s="189"/>
      <c r="R54" s="189"/>
      <c r="S54" s="115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79</v>
      </c>
      <c r="AK54" s="113">
        <f t="shared" si="5"/>
        <v>59250000</v>
      </c>
      <c r="AL54" s="99"/>
      <c r="AO54" s="99"/>
      <c r="AP54" s="172"/>
      <c r="AQ54" s="99"/>
      <c r="AR54" s="99"/>
    </row>
    <row r="55" spans="1:51" ht="18.75" x14ac:dyDescent="0.3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554684624.00670612</v>
      </c>
      <c r="F55" s="3"/>
      <c r="G55" s="11"/>
      <c r="H55" s="11"/>
      <c r="K55" s="1" t="s">
        <v>321</v>
      </c>
      <c r="L55" s="1">
        <v>100000</v>
      </c>
      <c r="M55" s="122"/>
      <c r="P55" s="115"/>
      <c r="Q55" s="115"/>
      <c r="R55" s="115"/>
      <c r="S55" s="115"/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77</v>
      </c>
      <c r="AK55" s="173">
        <f t="shared" si="5"/>
        <v>-326634000</v>
      </c>
      <c r="AL55" s="174" t="s">
        <v>4068</v>
      </c>
      <c r="AO55" s="99"/>
      <c r="AP55" s="172">
        <f>SUM(AP47:AP53)</f>
        <v>17831907</v>
      </c>
      <c r="AQ55" s="99"/>
      <c r="AR55" s="182" t="s">
        <v>4205</v>
      </c>
    </row>
    <row r="56" spans="1:51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566808386.86092329</v>
      </c>
      <c r="F56" s="3"/>
      <c r="G56" s="11"/>
      <c r="H56" s="11"/>
      <c r="K56" s="1" t="s">
        <v>306</v>
      </c>
      <c r="L56" s="1">
        <v>80000</v>
      </c>
      <c r="M56" s="122"/>
      <c r="P56" s="115"/>
      <c r="Q56" s="115"/>
      <c r="R56" s="115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75</v>
      </c>
      <c r="AK56" s="113">
        <f t="shared" si="5"/>
        <v>307500000</v>
      </c>
      <c r="AL56" s="99"/>
      <c r="AO56" s="99"/>
      <c r="AP56" s="99" t="s">
        <v>6</v>
      </c>
      <c r="AQ56" s="99"/>
      <c r="AR56" s="99"/>
    </row>
    <row r="57" spans="1:51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579184925.67596567</v>
      </c>
      <c r="F57" s="3"/>
      <c r="G57" s="11"/>
      <c r="H57" s="11"/>
      <c r="K57" s="31" t="s">
        <v>307</v>
      </c>
      <c r="L57" s="1">
        <v>150000</v>
      </c>
      <c r="M57" s="96"/>
      <c r="P57" s="115"/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75</v>
      </c>
      <c r="AK57" s="113">
        <f t="shared" si="5"/>
        <v>307500000</v>
      </c>
      <c r="AL57" s="99"/>
    </row>
    <row r="58" spans="1:51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591819398.97808707</v>
      </c>
      <c r="F58" s="3"/>
      <c r="G58" s="11"/>
      <c r="H58" s="11"/>
      <c r="K58" s="31" t="s">
        <v>308</v>
      </c>
      <c r="L58" s="1">
        <v>300000</v>
      </c>
      <c r="M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74</v>
      </c>
      <c r="AK58" s="113">
        <f t="shared" si="5"/>
        <v>58460000</v>
      </c>
      <c r="AL58" s="99"/>
    </row>
    <row r="59" spans="1:51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604717069.49413705</v>
      </c>
      <c r="F59" s="3"/>
      <c r="G59" s="11"/>
      <c r="H59" s="11"/>
      <c r="K59" s="31" t="s">
        <v>309</v>
      </c>
      <c r="L59" s="1">
        <v>100000</v>
      </c>
      <c r="M59" s="96"/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59</v>
      </c>
      <c r="AK59" s="175">
        <f t="shared" si="5"/>
        <v>-228035000</v>
      </c>
      <c r="AL59" s="174" t="s">
        <v>4069</v>
      </c>
    </row>
    <row r="60" spans="1:51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617883306.24587286</v>
      </c>
      <c r="F60" s="3"/>
      <c r="G60" s="11"/>
      <c r="H60" s="11"/>
      <c r="K60" s="31" t="s">
        <v>310</v>
      </c>
      <c r="L60" s="1">
        <v>200000</v>
      </c>
      <c r="M60" s="96"/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53</v>
      </c>
      <c r="AK60" s="113">
        <f t="shared" si="5"/>
        <v>996400000</v>
      </c>
      <c r="AL60" s="20"/>
    </row>
    <row r="61" spans="1:51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631323586.68626177</v>
      </c>
      <c r="F61" s="3"/>
      <c r="G61" s="11"/>
      <c r="H61" s="11"/>
      <c r="K61" s="18" t="s">
        <v>311</v>
      </c>
      <c r="L61" s="18">
        <v>300000</v>
      </c>
      <c r="M61" s="96"/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50</v>
      </c>
      <c r="AK61" s="113">
        <f t="shared" si="5"/>
        <v>25000000</v>
      </c>
      <c r="AL61" s="20"/>
    </row>
    <row r="62" spans="1:51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645043498.87861323</v>
      </c>
      <c r="F62" s="3"/>
      <c r="G62" s="11"/>
      <c r="H62" s="11"/>
      <c r="K62" s="32" t="s">
        <v>312</v>
      </c>
      <c r="L62" s="1">
        <v>200000</v>
      </c>
      <c r="M62" s="96"/>
      <c r="N62" s="96"/>
      <c r="O62" s="96"/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49</v>
      </c>
      <c r="AK62" s="113">
        <f t="shared" si="5"/>
        <v>9800000</v>
      </c>
      <c r="AL62" s="20"/>
      <c r="AT62" s="99" t="s">
        <v>1136</v>
      </c>
      <c r="AU62" s="99" t="s">
        <v>4271</v>
      </c>
      <c r="AV62" s="99" t="s">
        <v>939</v>
      </c>
      <c r="AW62" s="99" t="s">
        <v>180</v>
      </c>
      <c r="AX62" s="69" t="s">
        <v>8</v>
      </c>
      <c r="AY62" s="69" t="s">
        <v>267</v>
      </c>
    </row>
    <row r="63" spans="1:51" x14ac:dyDescent="0.25">
      <c r="E63" s="26"/>
      <c r="K63" s="32" t="s">
        <v>313</v>
      </c>
      <c r="L63" s="1">
        <v>20000</v>
      </c>
      <c r="M63" s="96"/>
      <c r="N63" s="96"/>
      <c r="O63" s="96"/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46</v>
      </c>
      <c r="AK63" s="113">
        <f t="shared" si="5"/>
        <v>46000000</v>
      </c>
      <c r="AL63" s="20"/>
      <c r="AT63" s="99">
        <v>1</v>
      </c>
      <c r="AU63" s="172" t="s">
        <v>4272</v>
      </c>
      <c r="AV63" s="99">
        <v>18290</v>
      </c>
      <c r="AW63" s="99" t="s">
        <v>4187</v>
      </c>
      <c r="AX63" s="99" t="s">
        <v>4273</v>
      </c>
      <c r="AY63" s="172">
        <v>3465500</v>
      </c>
    </row>
    <row r="64" spans="1:51" x14ac:dyDescent="0.25">
      <c r="E64" s="26"/>
      <c r="K64" s="32" t="s">
        <v>315</v>
      </c>
      <c r="L64" s="1">
        <v>50000</v>
      </c>
      <c r="M64" s="96"/>
      <c r="N64" s="96"/>
      <c r="O64" s="96"/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43</v>
      </c>
      <c r="AK64" s="113">
        <f t="shared" si="5"/>
        <v>55900000</v>
      </c>
      <c r="AL64" s="20"/>
      <c r="AT64" s="99">
        <v>2</v>
      </c>
      <c r="AU64" s="172" t="s">
        <v>4272</v>
      </c>
      <c r="AV64" s="99">
        <v>24813</v>
      </c>
      <c r="AW64" s="99" t="s">
        <v>4267</v>
      </c>
      <c r="AX64" s="99" t="s">
        <v>4274</v>
      </c>
      <c r="AY64" s="172">
        <v>4995629</v>
      </c>
    </row>
    <row r="65" spans="1:51" x14ac:dyDescent="0.25">
      <c r="K65" s="32" t="s">
        <v>316</v>
      </c>
      <c r="L65" s="1">
        <v>90000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9">AJ66+AI65</f>
        <v>43</v>
      </c>
      <c r="AK65" s="113">
        <f t="shared" si="5"/>
        <v>42785000</v>
      </c>
      <c r="AL65" s="20"/>
      <c r="AT65" s="99">
        <v>3</v>
      </c>
      <c r="AU65" s="172" t="s">
        <v>4272</v>
      </c>
      <c r="AV65" s="99">
        <v>26189</v>
      </c>
      <c r="AW65" s="99" t="s">
        <v>4291</v>
      </c>
      <c r="AX65" s="99" t="s">
        <v>4292</v>
      </c>
      <c r="AY65" s="172">
        <v>5006890</v>
      </c>
    </row>
    <row r="66" spans="1:51" x14ac:dyDescent="0.25">
      <c r="K66" s="32" t="s">
        <v>317</v>
      </c>
      <c r="L66" s="1">
        <v>50000</v>
      </c>
      <c r="M66" s="96"/>
      <c r="N66" s="96"/>
      <c r="O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9"/>
        <v>41</v>
      </c>
      <c r="AK66" s="113">
        <f t="shared" si="5"/>
        <v>533000000</v>
      </c>
      <c r="AL66" s="20"/>
      <c r="AT66" s="186"/>
      <c r="AU66" s="187" t="s">
        <v>4275</v>
      </c>
      <c r="AV66" s="186"/>
      <c r="AW66" s="186"/>
      <c r="AX66" s="186"/>
      <c r="AY66" s="187"/>
    </row>
    <row r="67" spans="1:51" x14ac:dyDescent="0.25">
      <c r="A67" t="s">
        <v>25</v>
      </c>
      <c r="F67" t="s">
        <v>310</v>
      </c>
      <c r="G67" t="s">
        <v>4105</v>
      </c>
      <c r="K67" s="32" t="s">
        <v>327</v>
      </c>
      <c r="L67" s="1">
        <v>150000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9"/>
        <v>39</v>
      </c>
      <c r="AK67" s="113">
        <f t="shared" si="5"/>
        <v>-120900000</v>
      </c>
      <c r="AL67" s="20"/>
      <c r="AT67" s="186"/>
      <c r="AU67" s="187" t="s">
        <v>4272</v>
      </c>
      <c r="AV67" s="186">
        <v>19666</v>
      </c>
      <c r="AW67" s="186" t="s">
        <v>4291</v>
      </c>
      <c r="AX67" s="186" t="s">
        <v>4293</v>
      </c>
      <c r="AY67" s="187"/>
    </row>
    <row r="68" spans="1:51" x14ac:dyDescent="0.25">
      <c r="F68" t="s">
        <v>4109</v>
      </c>
      <c r="G68" t="s">
        <v>4104</v>
      </c>
      <c r="K68" s="32" t="s">
        <v>318</v>
      </c>
      <c r="L68" s="1">
        <v>15000</v>
      </c>
      <c r="N68" s="96"/>
      <c r="P68" s="115"/>
      <c r="Q68" s="115"/>
      <c r="R68" s="115"/>
      <c r="S68" s="115"/>
      <c r="T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9"/>
        <v>36</v>
      </c>
      <c r="AK68" s="113">
        <f t="shared" si="5"/>
        <v>1643040000</v>
      </c>
      <c r="AL68" s="20"/>
      <c r="AT68" s="186"/>
      <c r="AU68" s="187"/>
      <c r="AV68" s="186"/>
      <c r="AW68" s="186"/>
      <c r="AX68" s="186"/>
      <c r="AY68" s="187"/>
    </row>
    <row r="69" spans="1:51" x14ac:dyDescent="0.25">
      <c r="F69" t="s">
        <v>4110</v>
      </c>
      <c r="G69" t="s">
        <v>4106</v>
      </c>
      <c r="K69" s="32" t="s">
        <v>319</v>
      </c>
      <c r="L69" s="1">
        <v>20000</v>
      </c>
      <c r="N69" s="96"/>
      <c r="P69" s="115"/>
      <c r="Q69" s="55"/>
      <c r="R69" s="190"/>
      <c r="S69" s="115"/>
      <c r="T69" s="115"/>
      <c r="W69" s="115"/>
      <c r="AF69" s="20">
        <v>49</v>
      </c>
      <c r="AG69" s="117" t="s">
        <v>4163</v>
      </c>
      <c r="AH69" s="117">
        <v>33500000</v>
      </c>
      <c r="AI69" s="20">
        <v>1</v>
      </c>
      <c r="AJ69" s="99">
        <f t="shared" si="9"/>
        <v>35</v>
      </c>
      <c r="AK69" s="113">
        <f t="shared" si="5"/>
        <v>1172500000</v>
      </c>
      <c r="AL69" s="20"/>
      <c r="AT69" s="99"/>
      <c r="AU69" s="172"/>
      <c r="AV69" s="99"/>
      <c r="AW69" s="99"/>
      <c r="AX69" s="99"/>
      <c r="AY69" s="172"/>
    </row>
    <row r="70" spans="1:51" ht="18.75" x14ac:dyDescent="0.3">
      <c r="G70" t="s">
        <v>4107</v>
      </c>
      <c r="K70" s="32" t="s">
        <v>320</v>
      </c>
      <c r="L70" s="1">
        <v>40000</v>
      </c>
      <c r="N70" s="96"/>
      <c r="P70" s="115"/>
      <c r="Q70" s="55"/>
      <c r="R70" s="190"/>
      <c r="S70" s="115"/>
      <c r="T70" s="115"/>
      <c r="W70" s="165"/>
      <c r="AF70" s="20">
        <v>50</v>
      </c>
      <c r="AG70" s="117" t="s">
        <v>4171</v>
      </c>
      <c r="AH70" s="117">
        <v>12000000</v>
      </c>
      <c r="AI70" s="20">
        <v>1</v>
      </c>
      <c r="AJ70" s="99">
        <f t="shared" si="9"/>
        <v>34</v>
      </c>
      <c r="AK70" s="117">
        <f t="shared" si="5"/>
        <v>408000000</v>
      </c>
      <c r="AL70" s="20"/>
      <c r="AT70" s="99"/>
      <c r="AU70" s="172"/>
      <c r="AV70" s="99"/>
      <c r="AW70" s="182"/>
      <c r="AX70" s="99"/>
      <c r="AY70" s="172"/>
    </row>
    <row r="71" spans="1:51" x14ac:dyDescent="0.25">
      <c r="G71" t="s">
        <v>4108</v>
      </c>
      <c r="K71" s="32" t="s">
        <v>322</v>
      </c>
      <c r="L71" s="1">
        <v>150000</v>
      </c>
      <c r="N71" s="96"/>
      <c r="P71" s="115"/>
      <c r="Q71" s="26"/>
      <c r="R71" s="190"/>
      <c r="S71" s="115"/>
      <c r="T71" s="115"/>
      <c r="W71" s="115"/>
      <c r="X71" s="115"/>
      <c r="Y71" s="115"/>
      <c r="Z71" s="115"/>
      <c r="AA71" s="115"/>
      <c r="AB71" s="115"/>
      <c r="AC71" s="115"/>
      <c r="AD71" s="115"/>
      <c r="AF71" s="20">
        <v>51</v>
      </c>
      <c r="AG71" s="117" t="s">
        <v>4177</v>
      </c>
      <c r="AH71" s="117">
        <v>15500000</v>
      </c>
      <c r="AI71" s="20">
        <v>4</v>
      </c>
      <c r="AJ71" s="99">
        <f t="shared" si="9"/>
        <v>33</v>
      </c>
      <c r="AK71" s="117">
        <f t="shared" si="5"/>
        <v>511500000</v>
      </c>
      <c r="AL71" s="20"/>
      <c r="AT71" s="99"/>
      <c r="AU71" s="99"/>
      <c r="AV71" s="99"/>
      <c r="AW71" s="99"/>
      <c r="AX71" s="99"/>
      <c r="AY71" s="172"/>
    </row>
    <row r="72" spans="1:51" x14ac:dyDescent="0.25">
      <c r="G72" t="s">
        <v>4112</v>
      </c>
      <c r="K72" s="32" t="s">
        <v>324</v>
      </c>
      <c r="L72" s="1">
        <v>75000</v>
      </c>
      <c r="P72" s="115"/>
      <c r="Q72" s="55"/>
      <c r="R72" s="190"/>
      <c r="S72" s="122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4181</v>
      </c>
      <c r="AH72" s="117">
        <v>150000</v>
      </c>
      <c r="AI72" s="20">
        <v>1</v>
      </c>
      <c r="AJ72" s="99">
        <f t="shared" si="9"/>
        <v>29</v>
      </c>
      <c r="AK72" s="117">
        <f t="shared" si="5"/>
        <v>4350000</v>
      </c>
      <c r="AL72" s="20"/>
    </row>
    <row r="73" spans="1:51" x14ac:dyDescent="0.25">
      <c r="G73" t="s">
        <v>4111</v>
      </c>
      <c r="K73" s="32" t="s">
        <v>314</v>
      </c>
      <c r="L73" s="1">
        <v>140000</v>
      </c>
      <c r="P73" s="115"/>
      <c r="Q73" s="55"/>
      <c r="R73" s="190"/>
      <c r="S73" s="115"/>
      <c r="W73" s="115"/>
      <c r="X73" s="128"/>
      <c r="Y73" s="115"/>
      <c r="Z73" s="115"/>
      <c r="AA73" s="115"/>
      <c r="AB73" s="128"/>
      <c r="AC73" s="115"/>
      <c r="AD73" s="115"/>
      <c r="AF73" s="184">
        <v>53</v>
      </c>
      <c r="AG73" s="185" t="s">
        <v>4187</v>
      </c>
      <c r="AH73" s="185">
        <v>29000000</v>
      </c>
      <c r="AI73" s="184">
        <v>15</v>
      </c>
      <c r="AJ73" s="184">
        <f t="shared" si="9"/>
        <v>28</v>
      </c>
      <c r="AK73" s="185">
        <f t="shared" si="5"/>
        <v>812000000</v>
      </c>
      <c r="AL73" s="184" t="s">
        <v>4206</v>
      </c>
    </row>
    <row r="74" spans="1:51" x14ac:dyDescent="0.25">
      <c r="K74" s="2" t="s">
        <v>478</v>
      </c>
      <c r="L74" s="3">
        <v>1083333</v>
      </c>
      <c r="P74" s="115"/>
      <c r="Q74" s="122"/>
      <c r="R74" s="115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4236</v>
      </c>
      <c r="AH74" s="117">
        <v>-130000</v>
      </c>
      <c r="AI74" s="20">
        <v>7</v>
      </c>
      <c r="AJ74" s="99">
        <f t="shared" si="9"/>
        <v>13</v>
      </c>
      <c r="AK74" s="117">
        <f t="shared" si="5"/>
        <v>-1690000</v>
      </c>
      <c r="AL74" s="20" t="s">
        <v>4238</v>
      </c>
    </row>
    <row r="75" spans="1:51" x14ac:dyDescent="0.25">
      <c r="K75" s="2"/>
      <c r="L75" s="3"/>
      <c r="P75" s="128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4295</v>
      </c>
      <c r="AH75" s="117">
        <v>232000</v>
      </c>
      <c r="AI75" s="20">
        <v>2</v>
      </c>
      <c r="AJ75" s="99">
        <f t="shared" si="9"/>
        <v>6</v>
      </c>
      <c r="AK75" s="117">
        <f>AH75*AJ75</f>
        <v>1392000</v>
      </c>
      <c r="AL75" s="20" t="s">
        <v>4297</v>
      </c>
    </row>
    <row r="76" spans="1:51" x14ac:dyDescent="0.25">
      <c r="K76" s="2"/>
      <c r="L76" s="3"/>
      <c r="P76" s="128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4312</v>
      </c>
      <c r="AH76" s="117">
        <v>-170000</v>
      </c>
      <c r="AI76" s="20">
        <v>3</v>
      </c>
      <c r="AJ76" s="99">
        <f t="shared" si="9"/>
        <v>4</v>
      </c>
      <c r="AK76" s="117">
        <f t="shared" si="5"/>
        <v>-680000</v>
      </c>
      <c r="AL76" s="20"/>
    </row>
    <row r="77" spans="1:51" x14ac:dyDescent="0.25">
      <c r="K77" s="2" t="s">
        <v>6</v>
      </c>
      <c r="L77" s="3">
        <f>SUM(L54:L75)</f>
        <v>3383333</v>
      </c>
      <c r="P77" s="115"/>
      <c r="Q77" s="22"/>
      <c r="W77" s="115"/>
      <c r="X77" s="128"/>
      <c r="Y77" s="115"/>
      <c r="Z77" s="115"/>
      <c r="AA77" s="115"/>
      <c r="AB77" s="128"/>
      <c r="AC77" s="115"/>
      <c r="AD77" s="115"/>
      <c r="AF77" s="20">
        <v>57</v>
      </c>
      <c r="AG77" s="117" t="s">
        <v>4328</v>
      </c>
      <c r="AH77" s="117">
        <v>-300000</v>
      </c>
      <c r="AI77" s="20">
        <v>1</v>
      </c>
      <c r="AJ77" s="99">
        <f t="shared" si="9"/>
        <v>1</v>
      </c>
      <c r="AK77" s="117">
        <f t="shared" si="5"/>
        <v>-300000</v>
      </c>
      <c r="AL77" s="20"/>
    </row>
    <row r="78" spans="1:51" x14ac:dyDescent="0.25">
      <c r="K78" s="2" t="s">
        <v>328</v>
      </c>
      <c r="L78" s="3">
        <f>L77/30</f>
        <v>112777.76666666666</v>
      </c>
      <c r="W78" s="115"/>
      <c r="X78" s="115"/>
      <c r="Y78" s="115"/>
      <c r="Z78" s="115"/>
      <c r="AA78" s="115"/>
      <c r="AB78" s="115"/>
      <c r="AC78" s="115"/>
      <c r="AD78" s="115"/>
      <c r="AF78" s="20"/>
      <c r="AG78" s="117"/>
      <c r="AH78" s="117"/>
      <c r="AI78" s="20"/>
      <c r="AJ78" s="99">
        <f t="shared" si="9"/>
        <v>0</v>
      </c>
      <c r="AK78" s="117">
        <f t="shared" si="5"/>
        <v>0</v>
      </c>
      <c r="AL78" s="20"/>
    </row>
    <row r="79" spans="1:51" x14ac:dyDescent="0.25">
      <c r="O79" s="115"/>
      <c r="W79" s="115"/>
      <c r="X79" s="115"/>
      <c r="Y79" s="115"/>
      <c r="Z79" s="115"/>
      <c r="AA79" s="115"/>
      <c r="AB79" s="115"/>
      <c r="AC79" s="115"/>
      <c r="AD79" s="115"/>
      <c r="AF79" s="20"/>
      <c r="AG79" s="117"/>
      <c r="AH79" s="117"/>
      <c r="AI79" s="20"/>
      <c r="AJ79" s="99">
        <f t="shared" si="9"/>
        <v>0</v>
      </c>
      <c r="AK79" s="117">
        <f t="shared" si="5"/>
        <v>0</v>
      </c>
      <c r="AL79" s="20"/>
    </row>
    <row r="80" spans="1:51" x14ac:dyDescent="0.25">
      <c r="O80" s="115"/>
      <c r="W80" s="115"/>
      <c r="X80" s="115"/>
      <c r="Y80" s="115"/>
      <c r="AC80" s="115"/>
      <c r="AD80" s="115"/>
      <c r="AF80" s="20"/>
      <c r="AG80" s="117"/>
      <c r="AH80" s="117"/>
      <c r="AI80" s="20"/>
      <c r="AJ80" s="99">
        <f t="shared" si="9"/>
        <v>0</v>
      </c>
      <c r="AK80" s="117">
        <f t="shared" si="5"/>
        <v>0</v>
      </c>
      <c r="AL80" s="20"/>
    </row>
    <row r="81" spans="11:50" x14ac:dyDescent="0.25">
      <c r="X81" s="115"/>
      <c r="Y81" s="115"/>
      <c r="AC81" s="115"/>
      <c r="AD81" s="115"/>
      <c r="AF81" s="99"/>
      <c r="AG81" s="113"/>
      <c r="AH81" s="113"/>
      <c r="AI81" s="99"/>
      <c r="AJ81" s="99">
        <f t="shared" si="9"/>
        <v>0</v>
      </c>
      <c r="AK81" s="117">
        <f t="shared" si="5"/>
        <v>0</v>
      </c>
      <c r="AL81" s="99"/>
    </row>
    <row r="82" spans="11:50" x14ac:dyDescent="0.25">
      <c r="X82" s="115"/>
      <c r="Y82" s="115"/>
      <c r="AC82" s="115"/>
      <c r="AD82" s="115"/>
      <c r="AF82" s="99"/>
      <c r="AG82" s="113"/>
      <c r="AH82" s="113"/>
      <c r="AI82" s="99"/>
      <c r="AJ82" s="99">
        <f t="shared" si="9"/>
        <v>0</v>
      </c>
      <c r="AK82" s="117">
        <f t="shared" si="5"/>
        <v>0</v>
      </c>
      <c r="AL82" s="99"/>
      <c r="AP82" t="s">
        <v>25</v>
      </c>
      <c r="AU82" t="s">
        <v>25</v>
      </c>
    </row>
    <row r="83" spans="11:50" x14ac:dyDescent="0.25">
      <c r="AF83" s="99"/>
      <c r="AG83" s="99"/>
      <c r="AH83" s="95">
        <f>SUM(AH20:AH81)</f>
        <v>222223899</v>
      </c>
      <c r="AI83" s="99"/>
      <c r="AJ83" s="99"/>
      <c r="AK83" s="95">
        <f>SUM(AK20:AK82)</f>
        <v>13695116438</v>
      </c>
      <c r="AL83" s="95">
        <f>AK83*AL86/31</f>
        <v>8835558.9922580644</v>
      </c>
    </row>
    <row r="84" spans="11:50" x14ac:dyDescent="0.25">
      <c r="K84" s="48" t="s">
        <v>789</v>
      </c>
      <c r="L84" s="48" t="s">
        <v>476</v>
      </c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K85" s="47">
        <v>700000</v>
      </c>
      <c r="L85" s="48" t="s">
        <v>1041</v>
      </c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K86" s="47">
        <v>500000</v>
      </c>
      <c r="L86" s="48" t="s">
        <v>479</v>
      </c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K87" s="47">
        <v>180000</v>
      </c>
      <c r="L87" s="48" t="s">
        <v>558</v>
      </c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K88" s="47">
        <v>0</v>
      </c>
      <c r="L88" s="48" t="s">
        <v>785</v>
      </c>
      <c r="AF88" s="99"/>
      <c r="AG88" s="99" t="s">
        <v>4067</v>
      </c>
      <c r="AH88" s="95">
        <f>AH83+AL83</f>
        <v>231059457.99225807</v>
      </c>
      <c r="AI88" s="99"/>
      <c r="AJ88" s="99"/>
      <c r="AK88" s="99"/>
      <c r="AL88" s="99"/>
      <c r="AS88" s="96" t="s">
        <v>25</v>
      </c>
    </row>
    <row r="89" spans="11:50" x14ac:dyDescent="0.25">
      <c r="K89" s="47">
        <v>0</v>
      </c>
      <c r="L89" s="48" t="s">
        <v>786</v>
      </c>
      <c r="AG89" t="s">
        <v>4070</v>
      </c>
      <c r="AH89" s="114">
        <f>SUM(N33:N36)</f>
        <v>268990311</v>
      </c>
      <c r="AO89" t="s">
        <v>25</v>
      </c>
      <c r="AT89" t="s">
        <v>25</v>
      </c>
    </row>
    <row r="90" spans="11:50" x14ac:dyDescent="0.25">
      <c r="K90" s="47">
        <v>500000</v>
      </c>
      <c r="L90" s="48" t="s">
        <v>787</v>
      </c>
      <c r="AG90" t="s">
        <v>4144</v>
      </c>
      <c r="AH90" s="114">
        <f>AH89-AH83</f>
        <v>46766412</v>
      </c>
    </row>
    <row r="91" spans="11:50" x14ac:dyDescent="0.25">
      <c r="K91" s="47">
        <v>75000</v>
      </c>
      <c r="L91" s="48" t="s">
        <v>788</v>
      </c>
      <c r="AG91" t="s">
        <v>945</v>
      </c>
      <c r="AH91" s="114">
        <f>AL83</f>
        <v>8835558.9922580644</v>
      </c>
      <c r="AR91" s="96" t="s">
        <v>25</v>
      </c>
    </row>
    <row r="92" spans="11:50" x14ac:dyDescent="0.25">
      <c r="K92" s="47">
        <v>0</v>
      </c>
      <c r="L92" s="48" t="s">
        <v>790</v>
      </c>
      <c r="AG92" t="s">
        <v>4071</v>
      </c>
      <c r="AH92" s="114">
        <f>AH89-AH88</f>
        <v>37930853.007741928</v>
      </c>
    </row>
    <row r="93" spans="11:50" x14ac:dyDescent="0.25">
      <c r="K93" s="47">
        <v>500000</v>
      </c>
      <c r="L93" s="48" t="s">
        <v>564</v>
      </c>
    </row>
    <row r="94" spans="11:50" x14ac:dyDescent="0.25">
      <c r="K94" s="47">
        <v>50000</v>
      </c>
      <c r="L94" s="48" t="s">
        <v>793</v>
      </c>
    </row>
    <row r="95" spans="11:50" x14ac:dyDescent="0.25">
      <c r="K95" s="47">
        <v>140000</v>
      </c>
      <c r="L95" s="48" t="s">
        <v>314</v>
      </c>
    </row>
    <row r="96" spans="11:50" x14ac:dyDescent="0.25">
      <c r="K96" s="47"/>
      <c r="L96" s="48" t="s">
        <v>25</v>
      </c>
    </row>
    <row r="97" spans="8:12" x14ac:dyDescent="0.25">
      <c r="K97" s="47">
        <f>SUM(K85:K96)</f>
        <v>2645000</v>
      </c>
      <c r="L97" s="48" t="s">
        <v>6</v>
      </c>
    </row>
    <row r="98" spans="8:12" x14ac:dyDescent="0.25">
      <c r="H98" s="96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Q32" sqref="Q32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4318</v>
      </c>
      <c r="C1" s="99" t="s">
        <v>4319</v>
      </c>
      <c r="D1" s="99" t="s">
        <v>4320</v>
      </c>
      <c r="E1" s="99" t="s">
        <v>4321</v>
      </c>
      <c r="F1" s="74" t="s">
        <v>4322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4340</v>
      </c>
      <c r="V10" s="96" t="s">
        <v>4342</v>
      </c>
      <c r="W10" t="s">
        <v>4336</v>
      </c>
      <c r="X10" t="s">
        <v>4338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4339</v>
      </c>
      <c r="Q13" s="99" t="s">
        <v>4340</v>
      </c>
      <c r="R13" s="99" t="s">
        <v>4341</v>
      </c>
      <c r="S13" s="99" t="s">
        <v>4335</v>
      </c>
      <c r="T13" s="99" t="s">
        <v>4337</v>
      </c>
      <c r="U13" s="69" t="s">
        <v>4336</v>
      </c>
      <c r="V13" s="69" t="s">
        <v>4338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 t="shared" ref="T16:T26" si="8">T15-U16-V16</f>
        <v>661521.25</v>
      </c>
      <c r="U16" s="172">
        <f t="shared" ref="U16:U26" si="9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si="8"/>
        <v>593059.84062499995</v>
      </c>
      <c r="U17" s="172">
        <f t="shared" si="9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8"/>
        <v>525111.89182031248</v>
      </c>
      <c r="U18" s="172">
        <f t="shared" si="9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8"/>
        <v>457673.55263166013</v>
      </c>
      <c r="U19" s="172">
        <f t="shared" si="9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8"/>
        <v>390741.00098692271</v>
      </c>
      <c r="U20" s="172">
        <f t="shared" si="9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8"/>
        <v>324310.44347952079</v>
      </c>
      <c r="U21" s="172">
        <f t="shared" si="9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8"/>
        <v>258378.11515342438</v>
      </c>
      <c r="U22" s="172">
        <f t="shared" si="9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8"/>
        <v>192940.27928977369</v>
      </c>
      <c r="U23" s="172">
        <f t="shared" si="9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8"/>
        <v>127993.22719510039</v>
      </c>
      <c r="U24" s="172">
        <f t="shared" si="9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8"/>
        <v>63533.277991137147</v>
      </c>
      <c r="U25" s="172">
        <f t="shared" si="9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8"/>
        <v>-443.2215937963847</v>
      </c>
      <c r="U26" s="172">
        <f t="shared" si="9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4323</v>
      </c>
      <c r="F27" s="99" t="s">
        <v>4324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AgentBased</vt:lpstr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2018-10-20T12:09:26Z</dcterms:modified>
</cp:coreProperties>
</file>