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V170" i="18" l="1"/>
  <c r="W170" i="18" s="1"/>
  <c r="S170" i="18"/>
  <c r="X170" i="18" l="1"/>
  <c r="P180" i="18"/>
  <c r="W262" i="18"/>
  <c r="J108" i="52"/>
  <c r="R226" i="18" l="1"/>
  <c r="U264" i="18"/>
  <c r="W261" i="18"/>
  <c r="W260" i="18"/>
  <c r="O106" i="52" l="1"/>
  <c r="J106" i="52"/>
  <c r="J104" i="52" l="1"/>
  <c r="G138" i="18"/>
  <c r="E276" i="15"/>
  <c r="E277" i="15"/>
  <c r="E278" i="15"/>
  <c r="E279" i="15"/>
  <c r="E280" i="15"/>
  <c r="E281" i="15"/>
  <c r="E282" i="15"/>
  <c r="E283" i="15"/>
  <c r="E284" i="15"/>
  <c r="E285" i="15"/>
  <c r="E286" i="15"/>
  <c r="D287" i="15"/>
  <c r="D286" i="15" s="1"/>
  <c r="E287" i="15"/>
  <c r="F286" i="15" l="1"/>
  <c r="D285" i="15"/>
  <c r="F287" i="15"/>
  <c r="AL240" i="18"/>
  <c r="AM240" i="18" s="1"/>
  <c r="W259" i="18"/>
  <c r="D284" i="15" l="1"/>
  <c r="F285" i="15"/>
  <c r="AL239" i="18"/>
  <c r="D8" i="60"/>
  <c r="C7" i="60"/>
  <c r="J3" i="60"/>
  <c r="F8" i="60" s="1"/>
  <c r="D3" i="60"/>
  <c r="D4" i="60"/>
  <c r="D5" i="60"/>
  <c r="D6" i="60"/>
  <c r="D2" i="60"/>
  <c r="D7" i="60" l="1"/>
  <c r="D16" i="60"/>
  <c r="F284" i="15"/>
  <c r="D283" i="15"/>
  <c r="F13" i="60"/>
  <c r="D13" i="60"/>
  <c r="F18" i="60"/>
  <c r="F10" i="60"/>
  <c r="D12" i="60"/>
  <c r="F17" i="60"/>
  <c r="F9" i="60"/>
  <c r="D17" i="60"/>
  <c r="D9" i="60"/>
  <c r="F14" i="60"/>
  <c r="AL238" i="18"/>
  <c r="AM239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58" i="18"/>
  <c r="D21" i="60" l="1"/>
  <c r="D282" i="15"/>
  <c r="F283" i="15"/>
  <c r="AM238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O110" i="52"/>
  <c r="N111" i="52"/>
  <c r="O111" i="52"/>
  <c r="P111" i="52"/>
  <c r="J100" i="52"/>
  <c r="J101" i="52"/>
  <c r="J102" i="52"/>
  <c r="J103" i="52"/>
  <c r="J105" i="52"/>
  <c r="J107" i="52"/>
  <c r="J109" i="52"/>
  <c r="J110" i="52"/>
  <c r="J111" i="52"/>
  <c r="J112" i="52"/>
  <c r="J97" i="52"/>
  <c r="J98" i="52"/>
  <c r="J99" i="52"/>
  <c r="P110" i="52" l="1"/>
  <c r="P106" i="52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96" i="18"/>
  <c r="J90" i="52"/>
  <c r="J95" i="52"/>
  <c r="W257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4" i="18"/>
  <c r="O143" i="18"/>
  <c r="O142" i="18"/>
  <c r="AM230" i="18" l="1"/>
  <c r="AL229" i="18"/>
  <c r="P97" i="52"/>
  <c r="P98" i="52"/>
  <c r="P95" i="52"/>
  <c r="P96" i="52"/>
  <c r="P94" i="52"/>
  <c r="P93" i="52"/>
  <c r="O146" i="18"/>
  <c r="N91" i="52"/>
  <c r="P92" i="52" s="1"/>
  <c r="AL228" i="18" l="1"/>
  <c r="AM228" i="18" s="1"/>
  <c r="AM229" i="18"/>
  <c r="R257" i="18"/>
  <c r="T280" i="18" s="1"/>
  <c r="W256" i="18"/>
  <c r="W255" i="18"/>
  <c r="W254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53" i="18"/>
  <c r="G139" i="18" l="1"/>
  <c r="J139" i="18" s="1"/>
  <c r="J138" i="18"/>
  <c r="G137" i="18"/>
  <c r="J137" i="18" s="1"/>
  <c r="G136" i="18"/>
  <c r="J136" i="18" s="1"/>
  <c r="J140" i="18" l="1"/>
  <c r="W252" i="18"/>
  <c r="O90" i="52" l="1"/>
  <c r="O91" i="52"/>
  <c r="O112" i="52"/>
  <c r="P112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51" i="18"/>
  <c r="G32" i="57" l="1"/>
  <c r="H32" i="57"/>
  <c r="D32" i="57"/>
  <c r="I32" i="57" s="1"/>
  <c r="D345" i="20"/>
  <c r="W250" i="18"/>
  <c r="W249" i="18"/>
  <c r="W185" i="18" l="1"/>
  <c r="W184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48" i="18"/>
  <c r="D343" i="20"/>
  <c r="W247" i="18" l="1"/>
  <c r="D342" i="20"/>
  <c r="J83" i="52"/>
  <c r="O83" i="52"/>
  <c r="W246" i="18"/>
  <c r="W245" i="18"/>
  <c r="F44" i="14"/>
  <c r="F45" i="14"/>
  <c r="F46" i="14"/>
  <c r="F47" i="14"/>
  <c r="F48" i="14"/>
  <c r="F49" i="14"/>
  <c r="F50" i="14"/>
  <c r="D341" i="20"/>
  <c r="AJ241" i="18" l="1"/>
  <c r="AL147" i="18" l="1"/>
  <c r="AM147" i="18" s="1"/>
  <c r="W244" i="18"/>
  <c r="AL145" i="18" l="1"/>
  <c r="AM145" i="18" s="1"/>
  <c r="D340" i="20" l="1"/>
  <c r="P23" i="18"/>
  <c r="N23" i="18" s="1"/>
  <c r="N48" i="18"/>
  <c r="W243" i="18"/>
  <c r="H337" i="20"/>
  <c r="H338" i="20"/>
  <c r="H339" i="20"/>
  <c r="H340" i="20"/>
  <c r="H341" i="20"/>
  <c r="H368" i="20"/>
  <c r="H369" i="20"/>
  <c r="D339" i="20"/>
  <c r="O76" i="18" l="1"/>
  <c r="O75" i="18"/>
  <c r="O74" i="18"/>
  <c r="B371" i="20"/>
  <c r="D332" i="20"/>
  <c r="D333" i="20"/>
  <c r="D334" i="20"/>
  <c r="D335" i="20"/>
  <c r="D336" i="20"/>
  <c r="D337" i="20"/>
  <c r="D338" i="20"/>
  <c r="D369" i="20"/>
  <c r="W242" i="18" l="1"/>
  <c r="D80" i="57"/>
  <c r="AD46" i="52" l="1"/>
  <c r="AE46" i="52"/>
  <c r="G46" i="10"/>
  <c r="D331" i="20" l="1"/>
  <c r="D330" i="20" l="1"/>
  <c r="W241" i="18" l="1"/>
  <c r="W240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5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9" i="18" l="1"/>
  <c r="W238" i="18"/>
  <c r="G129" i="18"/>
  <c r="J129" i="18" s="1"/>
  <c r="G128" i="18"/>
  <c r="J128" i="18" s="1"/>
  <c r="G127" i="18"/>
  <c r="J127" i="18" s="1"/>
  <c r="G126" i="18"/>
  <c r="J126" i="18" s="1"/>
  <c r="J130" i="18" l="1"/>
  <c r="Z40" i="52"/>
  <c r="Z39" i="52"/>
  <c r="Z38" i="52"/>
  <c r="AD38" i="52"/>
  <c r="AD39" i="52"/>
  <c r="AD40" i="52"/>
  <c r="AE40" i="52"/>
  <c r="AE39" i="52"/>
  <c r="AE38" i="52"/>
  <c r="R200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7" i="18"/>
  <c r="W236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35" i="18" l="1"/>
  <c r="W234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33" i="18" l="1"/>
  <c r="W23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P25" i="18"/>
  <c r="N25" i="18" s="1"/>
  <c r="N22" i="18"/>
  <c r="P30" i="18"/>
  <c r="N30" i="18" s="1"/>
  <c r="W231" i="18" l="1"/>
  <c r="W230" i="18"/>
  <c r="N30" i="52"/>
  <c r="N29" i="52"/>
  <c r="AD27" i="52"/>
  <c r="Z27" i="52"/>
  <c r="AE27" i="52"/>
  <c r="W229" i="18" l="1"/>
  <c r="W228" i="18"/>
  <c r="N28" i="52"/>
  <c r="N27" i="52"/>
  <c r="AD26" i="52" l="1"/>
  <c r="AE26" i="52"/>
  <c r="N40" i="18"/>
  <c r="AL227" i="18" l="1"/>
  <c r="D313" i="20"/>
  <c r="AL226" i="18" l="1"/>
  <c r="AM227" i="18"/>
  <c r="L119" i="18"/>
  <c r="L116" i="18" s="1"/>
  <c r="AM226" i="18" l="1"/>
  <c r="AL225" i="18"/>
  <c r="L114" i="18"/>
  <c r="L115" i="18"/>
  <c r="N115" i="18" s="1"/>
  <c r="M119" i="18"/>
  <c r="L108" i="18"/>
  <c r="W227" i="18"/>
  <c r="W226" i="18"/>
  <c r="N24" i="52"/>
  <c r="N26" i="52"/>
  <c r="N25" i="52"/>
  <c r="AL224" i="18" l="1"/>
  <c r="AM225" i="18"/>
  <c r="N67" i="18"/>
  <c r="K118" i="18"/>
  <c r="L11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25" i="18"/>
  <c r="W224" i="18"/>
  <c r="N23" i="52"/>
  <c r="N22" i="52"/>
  <c r="Z24" i="52"/>
  <c r="AD24" i="52"/>
  <c r="AE24" i="52"/>
  <c r="I368" i="20" l="1"/>
  <c r="G367" i="20"/>
  <c r="J368" i="20"/>
  <c r="K368" i="20"/>
  <c r="AL222" i="18"/>
  <c r="AM223" i="18"/>
  <c r="W223" i="18"/>
  <c r="W222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0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21" i="18"/>
  <c r="W220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3" i="18"/>
  <c r="F113" i="18" s="1"/>
  <c r="G112" i="18"/>
  <c r="F112" i="18" s="1"/>
  <c r="G111" i="18"/>
  <c r="F111" i="18" s="1"/>
  <c r="G110" i="18"/>
  <c r="F110" i="18" s="1"/>
  <c r="G109" i="18"/>
  <c r="F109" i="18" s="1"/>
  <c r="G108" i="18"/>
  <c r="F108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19" i="18"/>
  <c r="W218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9" i="18"/>
  <c r="L111" i="18"/>
  <c r="L112" i="18"/>
  <c r="L113" i="18"/>
  <c r="J355" i="20" l="1"/>
  <c r="I355" i="20"/>
  <c r="G354" i="20"/>
  <c r="K355" i="20"/>
  <c r="W217" i="18"/>
  <c r="W216" i="18"/>
  <c r="D303" i="20"/>
  <c r="D302" i="20"/>
  <c r="W215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13" i="18"/>
  <c r="N54" i="18"/>
  <c r="M114" i="18" s="1"/>
  <c r="N114" i="18" s="1"/>
  <c r="N52" i="18"/>
  <c r="M113" i="18" s="1"/>
  <c r="I350" i="20" l="1"/>
  <c r="J350" i="20"/>
  <c r="K350" i="20"/>
  <c r="G349" i="20"/>
  <c r="N113" i="18"/>
  <c r="AD14" i="52"/>
  <c r="AE14" i="52"/>
  <c r="AD13" i="52"/>
  <c r="AE13" i="52"/>
  <c r="Z14" i="52"/>
  <c r="D296" i="20"/>
  <c r="D295" i="20"/>
  <c r="K349" i="20" l="1"/>
  <c r="I349" i="20"/>
  <c r="J349" i="20"/>
  <c r="G348" i="20"/>
  <c r="W212" i="18"/>
  <c r="W211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10" i="18"/>
  <c r="W209" i="18"/>
  <c r="G346" i="20" l="1"/>
  <c r="J347" i="20"/>
  <c r="I347" i="20"/>
  <c r="K347" i="20"/>
  <c r="D293" i="20"/>
  <c r="K346" i="20" l="1"/>
  <c r="G345" i="20"/>
  <c r="J346" i="20"/>
  <c r="I346" i="20"/>
  <c r="W208" i="18"/>
  <c r="N53" i="18"/>
  <c r="M112" i="18" s="1"/>
  <c r="K345" i="20" l="1"/>
  <c r="G344" i="20"/>
  <c r="J345" i="20"/>
  <c r="I345" i="20"/>
  <c r="N112" i="18"/>
  <c r="D292" i="20"/>
  <c r="C8" i="36"/>
  <c r="W207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6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77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82" i="18"/>
  <c r="W205" i="18"/>
  <c r="D278" i="20"/>
  <c r="J327" i="20" l="1"/>
  <c r="K327" i="20"/>
  <c r="G326" i="20"/>
  <c r="I327" i="20"/>
  <c r="W183" i="18"/>
  <c r="B289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7" i="18"/>
  <c r="I325" i="20" l="1"/>
  <c r="K325" i="20"/>
  <c r="J325" i="20"/>
  <c r="G324" i="20"/>
  <c r="S176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M116" i="18" s="1"/>
  <c r="G320" i="20" l="1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3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6" i="18"/>
  <c r="N127" i="18"/>
  <c r="N128" i="18"/>
  <c r="N129" i="18"/>
  <c r="N130" i="18"/>
  <c r="N131" i="18"/>
  <c r="N132" i="18"/>
  <c r="N133" i="18"/>
  <c r="N125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204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203" i="18"/>
  <c r="AM124" i="18" l="1"/>
  <c r="AL123" i="18"/>
  <c r="AM123" i="18" l="1"/>
  <c r="AL122" i="18"/>
  <c r="AL121" i="18" l="1"/>
  <c r="AM122" i="18"/>
  <c r="W197" i="18"/>
  <c r="W198" i="18"/>
  <c r="W199" i="18"/>
  <c r="W200" i="18"/>
  <c r="W201" i="18"/>
  <c r="W202" i="18"/>
  <c r="W214" i="18"/>
  <c r="W196" i="18"/>
  <c r="AM121" i="18" l="1"/>
  <c r="AL120" i="18"/>
  <c r="N58" i="18"/>
  <c r="AM120" i="18" l="1"/>
  <c r="AL119" i="18"/>
  <c r="AM119" i="18" l="1"/>
  <c r="AL118" i="18"/>
  <c r="T180" i="18"/>
  <c r="S62" i="18"/>
  <c r="S63" i="18" s="1"/>
  <c r="S64" i="18" s="1"/>
  <c r="R201" i="18"/>
  <c r="R199" i="18"/>
  <c r="D57" i="51"/>
  <c r="AL117" i="18" l="1"/>
  <c r="AM118" i="18"/>
  <c r="S65" i="18"/>
  <c r="S66" i="18" s="1"/>
  <c r="AM117" i="18" l="1"/>
  <c r="AL116" i="18"/>
  <c r="S67" i="18"/>
  <c r="S68" i="18" s="1"/>
  <c r="S69" i="18" s="1"/>
  <c r="S70" i="18" s="1"/>
  <c r="S71" i="18" s="1"/>
  <c r="N33" i="18"/>
  <c r="Q84" i="18" s="1"/>
  <c r="S72" i="18" l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R198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1" i="18" s="1"/>
  <c r="N111" i="18" l="1"/>
  <c r="AM112" i="18"/>
  <c r="AL111" i="18"/>
  <c r="D108" i="50"/>
  <c r="AL110" i="18" l="1"/>
  <c r="AM111" i="18"/>
  <c r="N50" i="18"/>
  <c r="AL109" i="18" l="1"/>
  <c r="AM110" i="18"/>
  <c r="N110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6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3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09" i="18" s="1"/>
  <c r="S46" i="18" l="1"/>
  <c r="S47" i="18" s="1"/>
  <c r="AL99" i="18"/>
  <c r="AM100" i="18"/>
  <c r="N109" i="18"/>
  <c r="AL200" i="18"/>
  <c r="AM201" i="18"/>
  <c r="S48" i="18" l="1"/>
  <c r="S49" i="18" s="1"/>
  <c r="AM99" i="18"/>
  <c r="AL98" i="18"/>
  <c r="AL199" i="18"/>
  <c r="AM200" i="18"/>
  <c r="P63" i="18"/>
  <c r="S50" i="18" l="1"/>
  <c r="S51" i="18" s="1"/>
  <c r="S52" i="18" s="1"/>
  <c r="S53" i="18" s="1"/>
  <c r="S54" i="18" s="1"/>
  <c r="S55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7" i="18" s="1"/>
  <c r="AJ245" i="18" l="1"/>
  <c r="AJ246" i="18" s="1"/>
  <c r="R197" i="18"/>
  <c r="AM94" i="18"/>
  <c r="AL93" i="18"/>
  <c r="AL194" i="18"/>
  <c r="AM195" i="18"/>
  <c r="AL92" i="18" l="1"/>
  <c r="AM93" i="18"/>
  <c r="AL193" i="18"/>
  <c r="AM194" i="18"/>
  <c r="S94" i="18"/>
  <c r="S95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6" i="18"/>
  <c r="AL85" i="18" l="1"/>
  <c r="AM86" i="18"/>
  <c r="S97" i="18"/>
  <c r="S98" i="18" s="1"/>
  <c r="S99" i="18" s="1"/>
  <c r="S100" i="18" s="1"/>
  <c r="S101" i="18" s="1"/>
  <c r="S102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3" i="18"/>
  <c r="S104" i="18" s="1"/>
  <c r="S105" i="18" s="1"/>
  <c r="S106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41" i="18" l="1"/>
  <c r="AN241" i="18" s="1"/>
  <c r="AJ244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47" i="18" l="1"/>
  <c r="AJ248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7" i="18" l="1"/>
  <c r="AL77" i="18"/>
  <c r="AM78" i="18"/>
  <c r="N63" i="18"/>
  <c r="G307" i="20" l="1"/>
  <c r="K308" i="20"/>
  <c r="J308" i="20"/>
  <c r="I308" i="20"/>
  <c r="S108" i="18"/>
  <c r="S109" i="18" s="1"/>
  <c r="S110" i="18" s="1"/>
  <c r="S111" i="18" s="1"/>
  <c r="S112" i="18" s="1"/>
  <c r="AL76" i="18"/>
  <c r="AM77" i="18"/>
  <c r="G306" i="20" l="1"/>
  <c r="J307" i="20"/>
  <c r="I307" i="20"/>
  <c r="K307" i="20"/>
  <c r="S113" i="18"/>
  <c r="S114" i="18" s="1"/>
  <c r="S115" i="18" s="1"/>
  <c r="AL75" i="18"/>
  <c r="AM76" i="18"/>
  <c r="N57" i="18"/>
  <c r="Q172" i="18" s="1"/>
  <c r="M108" i="18" l="1"/>
  <c r="N108" i="18" s="1"/>
  <c r="N119" i="18" s="1"/>
  <c r="AJ171" i="18"/>
  <c r="AJ172" i="18" s="1"/>
  <c r="R196" i="18"/>
  <c r="R206" i="18" s="1"/>
  <c r="T267" i="18" s="1"/>
  <c r="S116" i="18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S129" i="18" l="1"/>
  <c r="S130" i="18" s="1"/>
  <c r="S131" i="18" s="1"/>
  <c r="V270" i="18"/>
  <c r="S185" i="18"/>
  <c r="U280" i="18"/>
  <c r="G304" i="20"/>
  <c r="I305" i="20"/>
  <c r="K305" i="20"/>
  <c r="J305" i="20"/>
  <c r="AL73" i="18"/>
  <c r="AM74" i="18"/>
  <c r="N89" i="18"/>
  <c r="V55" i="18" l="1"/>
  <c r="W55" i="18" s="1"/>
  <c r="V82" i="18"/>
  <c r="V81" i="18"/>
  <c r="V54" i="18"/>
  <c r="V53" i="18"/>
  <c r="W53" i="18" s="1"/>
  <c r="V80" i="18"/>
  <c r="V52" i="18"/>
  <c r="X52" i="18" s="1"/>
  <c r="V79" i="18"/>
  <c r="V75" i="18"/>
  <c r="V78" i="18"/>
  <c r="V76" i="18"/>
  <c r="V77" i="18"/>
  <c r="U185" i="18"/>
  <c r="V185" i="18" s="1"/>
  <c r="V74" i="18"/>
  <c r="X74" i="18" s="1"/>
  <c r="V51" i="18"/>
  <c r="V50" i="18"/>
  <c r="X50" i="18" s="1"/>
  <c r="V73" i="18"/>
  <c r="V72" i="18"/>
  <c r="V49" i="18"/>
  <c r="V48" i="18"/>
  <c r="V71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2" i="18"/>
  <c r="S133" i="18" s="1"/>
  <c r="V33" i="18"/>
  <c r="W33" i="18" s="1"/>
  <c r="V34" i="18"/>
  <c r="V35" i="18"/>
  <c r="V56" i="18"/>
  <c r="V36" i="18"/>
  <c r="V32" i="18"/>
  <c r="X32" i="18" s="1"/>
  <c r="V70" i="18"/>
  <c r="G303" i="20"/>
  <c r="K304" i="20"/>
  <c r="I304" i="20"/>
  <c r="J304" i="20"/>
  <c r="V280" i="18"/>
  <c r="V31" i="18"/>
  <c r="W31" i="18" s="1"/>
  <c r="V69" i="18"/>
  <c r="V131" i="18"/>
  <c r="V129" i="18"/>
  <c r="V128" i="18"/>
  <c r="V130" i="18"/>
  <c r="V125" i="18"/>
  <c r="W125" i="18" s="1"/>
  <c r="V127" i="18"/>
  <c r="V126" i="18"/>
  <c r="V124" i="18"/>
  <c r="V123" i="18"/>
  <c r="V30" i="18"/>
  <c r="W30" i="18" s="1"/>
  <c r="V68" i="18"/>
  <c r="V121" i="18"/>
  <c r="V122" i="18"/>
  <c r="V119" i="18"/>
  <c r="V118" i="18"/>
  <c r="V117" i="18"/>
  <c r="V116" i="18"/>
  <c r="V114" i="18"/>
  <c r="V115" i="18"/>
  <c r="V120" i="18"/>
  <c r="V171" i="18"/>
  <c r="V112" i="18"/>
  <c r="W112" i="18" s="1"/>
  <c r="V113" i="18"/>
  <c r="V29" i="18"/>
  <c r="W29" i="18" s="1"/>
  <c r="V67" i="18"/>
  <c r="V110" i="18"/>
  <c r="W110" i="18" s="1"/>
  <c r="V111" i="18"/>
  <c r="V107" i="18"/>
  <c r="W107" i="18" s="1"/>
  <c r="V109" i="18"/>
  <c r="V108" i="18"/>
  <c r="V106" i="18"/>
  <c r="W106" i="18" s="1"/>
  <c r="V105" i="18"/>
  <c r="V28" i="18"/>
  <c r="V27" i="18"/>
  <c r="W27" i="18" s="1"/>
  <c r="V66" i="18"/>
  <c r="V26" i="18"/>
  <c r="X26" i="18" s="1"/>
  <c r="V65" i="18"/>
  <c r="V83" i="18"/>
  <c r="V64" i="18"/>
  <c r="V104" i="18"/>
  <c r="V63" i="18"/>
  <c r="V103" i="18"/>
  <c r="V25" i="18"/>
  <c r="V102" i="18"/>
  <c r="V24" i="18"/>
  <c r="V22" i="18"/>
  <c r="V23" i="18"/>
  <c r="W23" i="18" s="1"/>
  <c r="V101" i="18"/>
  <c r="V100" i="18"/>
  <c r="V99" i="18"/>
  <c r="V21" i="18"/>
  <c r="V98" i="18"/>
  <c r="V97" i="18"/>
  <c r="V95" i="18"/>
  <c r="V96" i="18"/>
  <c r="V92" i="18"/>
  <c r="V20" i="18"/>
  <c r="V93" i="18"/>
  <c r="V94" i="18"/>
  <c r="AL72" i="18"/>
  <c r="AM73" i="18"/>
  <c r="X55" i="18" l="1"/>
  <c r="W82" i="18"/>
  <c r="X82" i="18"/>
  <c r="W81" i="18"/>
  <c r="X81" i="18"/>
  <c r="W54" i="18"/>
  <c r="X54" i="18"/>
  <c r="X53" i="18"/>
  <c r="W80" i="18"/>
  <c r="X80" i="18"/>
  <c r="W52" i="18"/>
  <c r="W79" i="18"/>
  <c r="X79" i="18"/>
  <c r="W76" i="18"/>
  <c r="X76" i="18"/>
  <c r="W78" i="18"/>
  <c r="X78" i="18"/>
  <c r="W77" i="18"/>
  <c r="X77" i="18"/>
  <c r="W75" i="18"/>
  <c r="X75" i="18"/>
  <c r="W74" i="18"/>
  <c r="W51" i="18"/>
  <c r="X51" i="18"/>
  <c r="W50" i="18"/>
  <c r="X73" i="18"/>
  <c r="W73" i="18"/>
  <c r="W72" i="18"/>
  <c r="X72" i="18"/>
  <c r="X48" i="18"/>
  <c r="W48" i="18"/>
  <c r="W49" i="18"/>
  <c r="X49" i="18"/>
  <c r="W71" i="18"/>
  <c r="X71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2" i="18"/>
  <c r="X132" i="18" s="1"/>
  <c r="S134" i="18"/>
  <c r="V133" i="18"/>
  <c r="W133" i="18" s="1"/>
  <c r="X33" i="18"/>
  <c r="W56" i="18"/>
  <c r="X56" i="18"/>
  <c r="W34" i="18"/>
  <c r="X34" i="18"/>
  <c r="W35" i="18"/>
  <c r="X35" i="18"/>
  <c r="X36" i="18"/>
  <c r="W36" i="18"/>
  <c r="W32" i="18"/>
  <c r="X70" i="18"/>
  <c r="W70" i="18"/>
  <c r="S184" i="18"/>
  <c r="G302" i="20"/>
  <c r="K303" i="20"/>
  <c r="I303" i="20"/>
  <c r="J303" i="20"/>
  <c r="X31" i="18"/>
  <c r="W69" i="18"/>
  <c r="X69" i="18"/>
  <c r="X125" i="18"/>
  <c r="W128" i="18"/>
  <c r="X128" i="18"/>
  <c r="W129" i="18"/>
  <c r="X129" i="18"/>
  <c r="X130" i="18"/>
  <c r="W130" i="18"/>
  <c r="W131" i="18"/>
  <c r="X131" i="18"/>
  <c r="W126" i="18"/>
  <c r="X126" i="18"/>
  <c r="W127" i="18"/>
  <c r="X127" i="18"/>
  <c r="X30" i="18"/>
  <c r="W123" i="18"/>
  <c r="X123" i="18"/>
  <c r="W124" i="18"/>
  <c r="X124" i="18"/>
  <c r="W68" i="18"/>
  <c r="X68" i="18"/>
  <c r="W122" i="18"/>
  <c r="X122" i="18"/>
  <c r="W121" i="18"/>
  <c r="X121" i="18"/>
  <c r="X118" i="18"/>
  <c r="W118" i="18"/>
  <c r="W119" i="18"/>
  <c r="X119" i="18"/>
  <c r="W116" i="18"/>
  <c r="X116" i="18"/>
  <c r="W117" i="18"/>
  <c r="X117" i="18"/>
  <c r="W171" i="18"/>
  <c r="X171" i="18"/>
  <c r="W115" i="18"/>
  <c r="X115" i="18"/>
  <c r="X120" i="18"/>
  <c r="W120" i="18"/>
  <c r="W114" i="18"/>
  <c r="X114" i="18"/>
  <c r="X112" i="18"/>
  <c r="W113" i="18"/>
  <c r="X113" i="18"/>
  <c r="X29" i="18"/>
  <c r="W67" i="18"/>
  <c r="X67" i="18"/>
  <c r="X110" i="18"/>
  <c r="W111" i="18"/>
  <c r="X111" i="18"/>
  <c r="X107" i="18"/>
  <c r="W108" i="18"/>
  <c r="X108" i="18"/>
  <c r="W109" i="18"/>
  <c r="X109" i="18"/>
  <c r="X106" i="18"/>
  <c r="W105" i="18"/>
  <c r="X105" i="18"/>
  <c r="W28" i="18"/>
  <c r="X28" i="18"/>
  <c r="X27" i="18"/>
  <c r="W66" i="18"/>
  <c r="X66" i="18"/>
  <c r="W26" i="18"/>
  <c r="W65" i="18"/>
  <c r="X65" i="18"/>
  <c r="W64" i="18"/>
  <c r="X64" i="18"/>
  <c r="W83" i="18"/>
  <c r="X83" i="18"/>
  <c r="S183" i="18"/>
  <c r="S182" i="18"/>
  <c r="U182" i="18" s="1"/>
  <c r="W104" i="18"/>
  <c r="X104" i="18"/>
  <c r="X63" i="18"/>
  <c r="W63" i="18"/>
  <c r="W97" i="18"/>
  <c r="X97" i="18"/>
  <c r="W99" i="18"/>
  <c r="X99" i="18"/>
  <c r="W102" i="18"/>
  <c r="X102" i="18"/>
  <c r="W94" i="18"/>
  <c r="X94" i="18"/>
  <c r="W100" i="18"/>
  <c r="X100" i="18"/>
  <c r="X23" i="18"/>
  <c r="W25" i="18"/>
  <c r="X25" i="18"/>
  <c r="W20" i="18"/>
  <c r="X20" i="18"/>
  <c r="W96" i="18"/>
  <c r="X96" i="18"/>
  <c r="W22" i="18"/>
  <c r="X22" i="18"/>
  <c r="X103" i="18"/>
  <c r="W103" i="18"/>
  <c r="W93" i="18"/>
  <c r="X93" i="18"/>
  <c r="W92" i="18"/>
  <c r="X92" i="18"/>
  <c r="W98" i="18"/>
  <c r="X98" i="18"/>
  <c r="W95" i="18"/>
  <c r="X95" i="18"/>
  <c r="X21" i="18"/>
  <c r="W21" i="18"/>
  <c r="W101" i="18"/>
  <c r="X101" i="18"/>
  <c r="W24" i="18"/>
  <c r="X24" i="18"/>
  <c r="AL71" i="18"/>
  <c r="AM72" i="18"/>
  <c r="U184" i="18" l="1"/>
  <c r="V184" i="18" s="1"/>
  <c r="N36" i="18"/>
  <c r="L21" i="18" s="1"/>
  <c r="U183" i="18"/>
  <c r="V183" i="18" s="1"/>
  <c r="W132" i="18"/>
  <c r="X133" i="18"/>
  <c r="S135" i="18"/>
  <c r="V134" i="18"/>
  <c r="N66" i="18"/>
  <c r="G301" i="20"/>
  <c r="I302" i="20"/>
  <c r="K302" i="20"/>
  <c r="J302" i="20"/>
  <c r="AL70" i="18"/>
  <c r="AM71" i="18"/>
  <c r="X134" i="18" l="1"/>
  <c r="W134" i="18"/>
  <c r="S136" i="18"/>
  <c r="V135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5" i="18" l="1"/>
  <c r="X135" i="18"/>
  <c r="S137" i="18"/>
  <c r="S138" i="18" s="1"/>
  <c r="V136" i="18"/>
  <c r="G299" i="20"/>
  <c r="I300" i="20"/>
  <c r="K300" i="20"/>
  <c r="J300" i="20"/>
  <c r="AL68" i="18"/>
  <c r="AM69" i="18"/>
  <c r="N2" i="33"/>
  <c r="W136" i="18" l="1"/>
  <c r="X136" i="18"/>
  <c r="V137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7" i="18" l="1"/>
  <c r="W137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39" i="18"/>
  <c r="V138" i="18"/>
  <c r="I297" i="20"/>
  <c r="K297" i="20"/>
  <c r="J297" i="20"/>
  <c r="G296" i="20"/>
  <c r="AL65" i="18"/>
  <c r="AM66" i="18"/>
  <c r="E59" i="14" l="1"/>
  <c r="G60" i="14"/>
  <c r="X138" i="18"/>
  <c r="W138" i="18"/>
  <c r="S140" i="18"/>
  <c r="V139" i="18"/>
  <c r="G295" i="20"/>
  <c r="K296" i="20"/>
  <c r="I296" i="20"/>
  <c r="J296" i="20"/>
  <c r="AL64" i="18"/>
  <c r="AM65" i="18"/>
  <c r="E58" i="14" l="1"/>
  <c r="G59" i="14"/>
  <c r="W139" i="18"/>
  <c r="X139" i="18"/>
  <c r="S141" i="18"/>
  <c r="V140" i="18"/>
  <c r="G294" i="20"/>
  <c r="K295" i="20"/>
  <c r="J295" i="20"/>
  <c r="I295" i="20"/>
  <c r="AM64" i="18"/>
  <c r="AL63" i="18"/>
  <c r="G58" i="14" l="1"/>
  <c r="E57" i="14"/>
  <c r="W140" i="18"/>
  <c r="X140" i="18"/>
  <c r="V141" i="18"/>
  <c r="S142" i="18"/>
  <c r="G293" i="20"/>
  <c r="I294" i="20"/>
  <c r="J294" i="20"/>
  <c r="K294" i="20"/>
  <c r="AL62" i="18"/>
  <c r="AM63" i="18"/>
  <c r="G57" i="14" l="1"/>
  <c r="E56" i="14"/>
  <c r="S143" i="18"/>
  <c r="S144" i="18" s="1"/>
  <c r="V142" i="18"/>
  <c r="W141" i="18"/>
  <c r="X141" i="18"/>
  <c r="G292" i="20"/>
  <c r="K293" i="20"/>
  <c r="J293" i="20"/>
  <c r="I293" i="20"/>
  <c r="AL61" i="18"/>
  <c r="AM62" i="18"/>
  <c r="E55" i="14" l="1"/>
  <c r="G56" i="14"/>
  <c r="V143" i="18"/>
  <c r="X143" i="18" s="1"/>
  <c r="X142" i="18"/>
  <c r="W142" i="18"/>
  <c r="J292" i="20"/>
  <c r="I292" i="20"/>
  <c r="G291" i="20"/>
  <c r="K292" i="20"/>
  <c r="AM61" i="18"/>
  <c r="AL60" i="18"/>
  <c r="E54" i="14" l="1"/>
  <c r="G55" i="14"/>
  <c r="W143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4" i="18"/>
  <c r="W144" i="18" s="1"/>
  <c r="S145" i="18"/>
  <c r="J290" i="20"/>
  <c r="G289" i="20"/>
  <c r="I290" i="20"/>
  <c r="K290" i="20"/>
  <c r="AM59" i="18"/>
  <c r="AL58" i="18"/>
  <c r="G53" i="14" l="1"/>
  <c r="E52" i="14"/>
  <c r="X144" i="18"/>
  <c r="S146" i="18"/>
  <c r="S147" i="18" s="1"/>
  <c r="S148" i="18" s="1"/>
  <c r="S149" i="18" s="1"/>
  <c r="S150" i="18" s="1"/>
  <c r="V145" i="18"/>
  <c r="G288" i="20"/>
  <c r="K289" i="20"/>
  <c r="J289" i="20"/>
  <c r="I289" i="20"/>
  <c r="AL57" i="18"/>
  <c r="AM58" i="18"/>
  <c r="E51" i="14" l="1"/>
  <c r="G52" i="14"/>
  <c r="V148" i="18"/>
  <c r="W145" i="18"/>
  <c r="X145" i="18"/>
  <c r="V146" i="18"/>
  <c r="J288" i="20"/>
  <c r="K288" i="20"/>
  <c r="G287" i="20"/>
  <c r="I288" i="20"/>
  <c r="AL56" i="18"/>
  <c r="AM57" i="18"/>
  <c r="B105" i="13"/>
  <c r="B196" i="13" s="1"/>
  <c r="G51" i="14" l="1"/>
  <c r="E50" i="14"/>
  <c r="W148" i="18"/>
  <c r="X148" i="18"/>
  <c r="W146" i="18"/>
  <c r="X146" i="18"/>
  <c r="V147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7" i="18"/>
  <c r="X147" i="18"/>
  <c r="G285" i="20"/>
  <c r="J286" i="20"/>
  <c r="I286" i="20"/>
  <c r="K286" i="20"/>
  <c r="AM55" i="18"/>
  <c r="AL54" i="18"/>
  <c r="G49" i="14" l="1"/>
  <c r="E48" i="14"/>
  <c r="V149" i="18"/>
  <c r="G284" i="20"/>
  <c r="K285" i="20"/>
  <c r="J285" i="20"/>
  <c r="I285" i="20"/>
  <c r="AL53" i="18"/>
  <c r="AM54" i="18"/>
  <c r="G48" i="14" l="1"/>
  <c r="E47" i="14"/>
  <c r="W149" i="18"/>
  <c r="X149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50" i="18"/>
  <c r="W150" i="18" s="1"/>
  <c r="S151" i="18"/>
  <c r="S152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3" i="18"/>
  <c r="S154" i="18" s="1"/>
  <c r="V152" i="18"/>
  <c r="X150" i="18"/>
  <c r="V151" i="18"/>
  <c r="K280" i="20"/>
  <c r="G279" i="20"/>
  <c r="J280" i="20"/>
  <c r="I280" i="20"/>
  <c r="AL48" i="18"/>
  <c r="AM49" i="18"/>
  <c r="E248" i="15"/>
  <c r="G43" i="14" l="1"/>
  <c r="E42" i="14"/>
  <c r="V153" i="18"/>
  <c r="X153" i="18" s="1"/>
  <c r="W152" i="18"/>
  <c r="X152" i="18"/>
  <c r="W151" i="18"/>
  <c r="X151" i="18"/>
  <c r="J279" i="20"/>
  <c r="I279" i="20"/>
  <c r="G278" i="20"/>
  <c r="K279" i="20"/>
  <c r="AL47" i="18"/>
  <c r="AM48" i="18"/>
  <c r="E247" i="15"/>
  <c r="E246" i="15"/>
  <c r="G42" i="14" l="1"/>
  <c r="E41" i="14"/>
  <c r="W153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5" i="18"/>
  <c r="S156" i="18" s="1"/>
  <c r="V154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5" i="18"/>
  <c r="X155" i="18" s="1"/>
  <c r="W154" i="18"/>
  <c r="X154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5" i="18"/>
  <c r="G272" i="20"/>
  <c r="J273" i="20"/>
  <c r="K273" i="20"/>
  <c r="I273" i="20"/>
  <c r="AL41" i="18"/>
  <c r="AM42" i="18"/>
  <c r="G36" i="14" l="1"/>
  <c r="E35" i="14"/>
  <c r="V156" i="18"/>
  <c r="W156" i="18" s="1"/>
  <c r="S157" i="18"/>
  <c r="J272" i="20"/>
  <c r="K272" i="20"/>
  <c r="I272" i="20"/>
  <c r="G271" i="20"/>
  <c r="AM41" i="18"/>
  <c r="AL40" i="18"/>
  <c r="G35" i="14" l="1"/>
  <c r="E34" i="14"/>
  <c r="V157" i="18"/>
  <c r="W157" i="18" s="1"/>
  <c r="S158" i="18"/>
  <c r="X156" i="18"/>
  <c r="G270" i="20"/>
  <c r="I271" i="20"/>
  <c r="J271" i="20"/>
  <c r="K271" i="20"/>
  <c r="AL39" i="18"/>
  <c r="AM40" i="18"/>
  <c r="E243" i="15"/>
  <c r="G34" i="14" l="1"/>
  <c r="E33" i="14"/>
  <c r="V158" i="18"/>
  <c r="W158" i="18" s="1"/>
  <c r="S159" i="18"/>
  <c r="X157" i="18"/>
  <c r="G269" i="20"/>
  <c r="J270" i="20"/>
  <c r="K270" i="20"/>
  <c r="I270" i="20"/>
  <c r="AM39" i="18"/>
  <c r="AL38" i="18"/>
  <c r="E242" i="15"/>
  <c r="E32" i="14" l="1"/>
  <c r="G33" i="14"/>
  <c r="X158" i="18"/>
  <c r="S160" i="18"/>
  <c r="V159" i="18"/>
  <c r="I269" i="20"/>
  <c r="K269" i="20"/>
  <c r="J269" i="20"/>
  <c r="G268" i="20"/>
  <c r="AL37" i="18"/>
  <c r="AM38" i="18"/>
  <c r="J57" i="33"/>
  <c r="J55" i="33"/>
  <c r="J54" i="33"/>
  <c r="G32" i="14" l="1"/>
  <c r="E31" i="14"/>
  <c r="W159" i="18"/>
  <c r="X159" i="18"/>
  <c r="S161" i="18"/>
  <c r="V160" i="18"/>
  <c r="J268" i="20"/>
  <c r="I268" i="20"/>
  <c r="G267" i="20"/>
  <c r="K268" i="20"/>
  <c r="AL36" i="18"/>
  <c r="AM37" i="18"/>
  <c r="L57" i="33"/>
  <c r="E241" i="15"/>
  <c r="G31" i="14" l="1"/>
  <c r="E30" i="14"/>
  <c r="S162" i="18"/>
  <c r="V161" i="18"/>
  <c r="W160" i="18"/>
  <c r="X160" i="18"/>
  <c r="I267" i="20"/>
  <c r="K267" i="20"/>
  <c r="G266" i="20"/>
  <c r="J267" i="20"/>
  <c r="AM36" i="18"/>
  <c r="AL35" i="18"/>
  <c r="D168" i="20"/>
  <c r="E29" i="14" l="1"/>
  <c r="G30" i="14"/>
  <c r="V162" i="18"/>
  <c r="W162" i="18" s="1"/>
  <c r="S163" i="18"/>
  <c r="W161" i="18"/>
  <c r="X161" i="18"/>
  <c r="J266" i="20"/>
  <c r="G265" i="20"/>
  <c r="K266" i="20"/>
  <c r="I266" i="20"/>
  <c r="AL34" i="18"/>
  <c r="AM35" i="18"/>
  <c r="E240" i="15"/>
  <c r="E239" i="15"/>
  <c r="V163" i="18" l="1"/>
  <c r="W163" i="18" s="1"/>
  <c r="S164" i="18"/>
  <c r="X162" i="18"/>
  <c r="G29" i="14"/>
  <c r="E28" i="14"/>
  <c r="K265" i="20"/>
  <c r="G264" i="20"/>
  <c r="J265" i="20"/>
  <c r="I265" i="20"/>
  <c r="D259" i="15"/>
  <c r="AL33" i="18"/>
  <c r="AM34" i="18"/>
  <c r="V164" i="18" l="1"/>
  <c r="X164" i="18" s="1"/>
  <c r="S165" i="18"/>
  <c r="X163" i="18"/>
  <c r="E27" i="14"/>
  <c r="G28" i="14"/>
  <c r="G263" i="20"/>
  <c r="K264" i="20"/>
  <c r="J264" i="20"/>
  <c r="I264" i="20"/>
  <c r="D258" i="15"/>
  <c r="F259" i="15"/>
  <c r="AL32" i="18"/>
  <c r="AM33" i="18"/>
  <c r="W164" i="18" l="1"/>
  <c r="V165" i="18"/>
  <c r="W165" i="18" s="1"/>
  <c r="S166" i="18"/>
  <c r="S167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65" i="18" l="1"/>
  <c r="V166" i="18"/>
  <c r="X166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66" i="18" l="1"/>
  <c r="E24" i="14"/>
  <c r="G25" i="14"/>
  <c r="J261" i="20"/>
  <c r="I261" i="20"/>
  <c r="K261" i="20"/>
  <c r="G260" i="20"/>
  <c r="D255" i="15"/>
  <c r="F256" i="15"/>
  <c r="AL29" i="18"/>
  <c r="AM30" i="18"/>
  <c r="V167" i="18" l="1"/>
  <c r="X167" i="18" s="1"/>
  <c r="S168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68" i="18" l="1"/>
  <c r="S169" i="18"/>
  <c r="V169" i="18" s="1"/>
  <c r="W167" i="18"/>
  <c r="W168" i="18"/>
  <c r="X168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W169" i="18" l="1"/>
  <c r="X169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579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39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04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19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04" i="41"/>
  <c r="N1951" i="41"/>
  <c r="N1959" i="41"/>
  <c r="N2015" i="41"/>
  <c r="N2016" i="41"/>
  <c r="N2023" i="41"/>
  <c r="N2050" i="41"/>
  <c r="N2055" i="41"/>
  <c r="N2056" i="41"/>
  <c r="N2071" i="41"/>
  <c r="N2080" i="41"/>
  <c r="N2103" i="41"/>
  <c r="N2146" i="41"/>
  <c r="N2151" i="41"/>
  <c r="N2160" i="41"/>
  <c r="N2168" i="41"/>
  <c r="N2175" i="41"/>
  <c r="N2216" i="41"/>
  <c r="N2255" i="41"/>
  <c r="N2266" i="41"/>
  <c r="N2271" i="41"/>
  <c r="N2288" i="41"/>
  <c r="N2295" i="41"/>
  <c r="N2311" i="41"/>
  <c r="N2354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N972" i="41"/>
  <c r="L762" i="4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9" i="18" l="1"/>
  <c r="F24" i="18" s="1"/>
  <c r="G113" i="20"/>
  <c r="J114" i="20"/>
  <c r="I114" i="20"/>
  <c r="K114" i="20"/>
  <c r="L70" i="18"/>
  <c r="E33" i="13"/>
  <c r="G34" i="13"/>
  <c r="F108" i="15"/>
  <c r="C20" i="18"/>
  <c r="G20" i="14"/>
  <c r="G21" i="14"/>
  <c r="G112" i="20" l="1"/>
  <c r="K113" i="20"/>
  <c r="J113" i="20"/>
  <c r="I113" i="20"/>
  <c r="L7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9" i="15"/>
  <c r="F292" i="15" s="1"/>
  <c r="G6" i="20" l="1"/>
  <c r="J7" i="20"/>
  <c r="K7" i="20"/>
  <c r="I7" i="20"/>
  <c r="V182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<sst xmlns="http://schemas.openxmlformats.org/spreadsheetml/2006/main" count="11796" uniqueCount="5073">
  <si>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</si>
  <si>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</si>
  <si>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</si>
  <si>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</si>
  <si>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</si>
  <si>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</si>
  <si>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</si>
  <si>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</si>
  <si>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</si>
  <si>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</si>
  <si>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</si>
  <si>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</si>
  <si>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</si>
  <si>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</si>
  <si>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</si>
  <si>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</si>
  <si>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</si>
  <si>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</si>
  <si>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</si>
  <si>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</si>
  <si>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</si>
  <si>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</si>
  <si>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</si>
  <si>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</si>
  <si>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</si>
  <si>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</si>
  <si>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</si>
  <si>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</si>
  <si>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</si>
  <si>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</si>
  <si>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</si>
  <si>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</si>
  <si>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</si>
  <si>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</si>
  <si>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</si>
  <si>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</si>
  <si>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</si>
  <si>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</si>
  <si>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</si>
  <si>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</si>
  <si>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</si>
  <si>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</si>
  <si>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</si>
  <si>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</si>
  <si>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</si>
  <si>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</si>
  <si>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</si>
  <si>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</si>
  <si>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</si>
  <si>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</si>
  <si>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</si>
  <si>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</si>
  <si>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</si>
  <si>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</si>
  <si>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</si>
  <si>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</si>
  <si>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</si>
  <si>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</si>
  <si>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</si>
  <si>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</si>
  <si>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</si>
  <si>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</si>
  <si>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</si>
  <si>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</si>
  <si>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</si>
  <si>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</si>
  <si>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</si>
  <si>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</si>
  <si>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</si>
  <si>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</si>
  <si>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</si>
  <si>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</si>
  <si>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</si>
  <si>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</si>
  <si>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</si>
  <si>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</si>
  <si>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</si>
  <si>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</si>
  <si>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</si>
  <si>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</si>
  <si>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</si>
  <si>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</si>
  <si>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</si>
  <si>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</si>
  <si>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</si>
  <si>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</si>
  <si>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</si>
  <si>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</si>
  <si>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</si>
  <si>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</si>
  <si>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</si>
  <si>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</si>
  <si>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</si>
  <si>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</si>
  <si>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</si>
  <si>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</si>
  <si>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</si>
  <si>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</si>
  <si>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</si>
  <si>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</si>
  <si>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</si>
  <si>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</si>
  <si>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</si>
  <si>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</si>
  <si>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</si>
  <si>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</si>
  <si>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</si>
  <si>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</si>
  <si>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</si>
  <si>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</si>
  <si>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</si>
  <si>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</si>
  <si>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</si>
  <si>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</si>
  <si>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</si>
  <si>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</si>
  <si>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</si>
  <si>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</si>
  <si>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</si>
  <si>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</si>
  <si>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</si>
  <si>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</si>
  <si>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</si>
  <si>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</si>
  <si>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</si>
  <si>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</si>
  <si>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</si>
  <si>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</si>
  <si>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</si>
  <si>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</si>
  <si>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</si>
  <si>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</si>
  <si>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</si>
  <si>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</si>
  <si>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</si>
  <si>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</si>
  <si>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</si>
  <si>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</si>
  <si>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</si>
  <si>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</si>
  <si>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</si>
  <si>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</si>
  <si>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</si>
  <si>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</si>
  <si>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</si>
  <si>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</si>
  <si>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</si>
  <si>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</si>
  <si>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</si>
  <si>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</si>
  <si>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</si>
  <si>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</si>
  <si>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</si>
  <si>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</si>
  <si>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</si>
  <si>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</si>
  <si>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</si>
  <si>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</si>
  <si>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</si>
  <si>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</si>
  <si>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</si>
  <si>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</si>
  <si>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</si>
  <si>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</si>
  <si>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</si>
  <si>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</si>
  <si>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</si>
  <si>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</si>
  <si>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</si>
  <si>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</si>
  <si>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</si>
  <si>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</si>
  <si>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</si>
  <si>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</si>
  <si>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</si>
  <si>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</si>
  <si>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</si>
  <si>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</si>
  <si>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</si>
  <si>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</si>
  <si>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</si>
  <si>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</si>
  <si>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</si>
  <si>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</si>
  <si>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</si>
  <si>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</si>
  <si>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</si>
  <si>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</si>
  <si>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</si>
  <si>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</si>
  <si>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</si>
  <si>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</si>
  <si>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</si>
  <si>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</si>
  <si>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</si>
  <si>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</si>
  <si>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</si>
  <si>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</si>
  <si>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</si>
  <si>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</si>
  <si>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</si>
  <si>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</si>
  <si>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</si>
  <si>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</si>
  <si>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</si>
  <si>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</si>
  <si>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</si>
  <si>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</si>
  <si>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</si>
  <si>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</si>
  <si>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</si>
  <si>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</si>
  <si>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</si>
  <si>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</si>
  <si>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</si>
  <si>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</si>
  <si>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</si>
  <si>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</si>
  <si>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</si>
  <si>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</si>
  <si>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</si>
  <si>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</si>
  <si>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</si>
  <si>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</si>
  <si>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</si>
  <si>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</si>
  <si>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</si>
  <si>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</si>
  <si>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</si>
  <si>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</si>
  <si>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</si>
  <si>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</si>
  <si>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</si>
  <si>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</si>
  <si>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</si>
  <si>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</si>
  <si>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</si>
  <si>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</si>
  <si>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</si>
  <si>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</si>
  <si>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</si>
  <si>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</si>
  <si>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</si>
  <si>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</si>
  <si>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</si>
  <si>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</si>
  <si>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</si>
  <si>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</si>
  <si>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</si>
  <si>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</si>
  <si>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</si>
  <si>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</si>
  <si>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</si>
  <si>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</si>
  <si>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</si>
  <si>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</si>
  <si>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</si>
  <si>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</si>
  <si>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</si>
  <si>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</si>
  <si>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</si>
  <si>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</si>
  <si>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</si>
  <si>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</si>
  <si>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</si>
  <si>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</si>
  <si>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</si>
  <si>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</si>
  <si>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</si>
  <si>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</si>
  <si>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</si>
  <si>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</si>
  <si>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</si>
  <si>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</si>
  <si>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</si>
  <si>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</si>
  <si>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</si>
  <si>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</si>
  <si>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</si>
  <si>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</si>
  <si>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</si>
  <si>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</si>
  <si>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</si>
  <si>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</si>
  <si>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</si>
  <si>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</si>
  <si>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</si>
  <si>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</si>
  <si>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</si>
  <si>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</si>
  <si>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</si>
  <si>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</si>
  <si>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</si>
  <si>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</si>
  <si>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</si>
  <si>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</si>
  <si>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</si>
  <si>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</si>
  <si>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</si>
  <si>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</si>
  <si>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</si>
  <si>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</si>
  <si>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</si>
  <si>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</si>
  <si>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</si>
  <si>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</si>
  <si>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</si>
  <si>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</si>
  <si>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</si>
  <si>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</si>
  <si>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</si>
  <si>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</si>
  <si>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</si>
  <si>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</si>
  <si>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</si>
  <si>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</si>
  <si>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</si>
  <si>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</si>
  <si>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</si>
  <si>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</si>
  <si>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</si>
  <si>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</si>
  <si>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</si>
  <si>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</si>
  <si>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</si>
  <si>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</si>
  <si>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</si>
  <si>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</si>
  <si>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</si>
  <si>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</si>
  <si>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</si>
  <si>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</si>
  <si>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</si>
  <si>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</si>
  <si>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</si>
  <si>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</si>
  <si>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</si>
  <si>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</si>
  <si>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</si>
  <si>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</si>
  <si>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</si>
  <si>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</si>
  <si>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</si>
  <si>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</si>
  <si>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</si>
  <si>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</si>
  <si>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</si>
  <si>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</si>
  <si>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</si>
  <si>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</si>
  <si>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</si>
  <si>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</si>
  <si>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</si>
  <si>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</si>
  <si>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</si>
  <si>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</si>
  <si>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</si>
  <si>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</si>
  <si>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</si>
  <si>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</si>
  <si>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</si>
  <si>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</si>
  <si>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</si>
  <si>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</si>
  <si>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</si>
  <si>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</si>
  <si>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</si>
  <si>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</si>
  <si>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</si>
  <si>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</si>
  <si>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</si>
  <si>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</si>
  <si>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</si>
  <si>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</si>
  <si>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</si>
  <si>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</si>
  <si>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</si>
  <si>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</si>
  <si>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</si>
  <si>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</si>
  <si>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</si>
  <si>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</si>
  <si>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</si>
  <si>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</si>
  <si>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</si>
  <si>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</si>
  <si>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</si>
  <si>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</si>
  <si>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</si>
  <si>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</si>
  <si>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</si>
  <si>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</si>
  <si>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</si>
  <si>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</si>
  <si>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</si>
  <si>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</si>
  <si>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</si>
  <si>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</si>
  <si>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</si>
  <si>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</si>
  <si>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</si>
  <si>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</si>
  <si>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</si>
  <si>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</si>
  <si>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</si>
  <si>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</si>
  <si>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</si>
  <si>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</si>
  <si>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</si>
  <si>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</si>
  <si>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</si>
  <si>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</si>
  <si>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</si>
  <si>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</si>
  <si>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</si>
  <si>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</si>
  <si>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</si>
  <si>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</si>
  <si>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</si>
  <si>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</si>
  <si>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</si>
  <si>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</si>
  <si>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</si>
  <si>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</si>
  <si>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</si>
  <si>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</si>
  <si>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</si>
  <si>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</si>
  <si>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</si>
  <si>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</si>
  <si>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</si>
  <si>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</si>
  <si>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</si>
  <si>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</si>
  <si>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</si>
  <si>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</si>
  <si>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</si>
  <si>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</si>
  <si>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</si>
  <si>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</si>
  <si>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</si>
  <si>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</si>
  <si>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</si>
  <si>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</si>
  <si>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</si>
  <si>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</si>
  <si>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</si>
  <si>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</si>
  <si>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</si>
  <si>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</si>
  <si>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</si>
  <si>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</si>
  <si>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</si>
  <si>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</si>
  <si>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</si>
  <si>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</si>
  <si>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</si>
  <si>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</si>
  <si>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</si>
  <si>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</si>
  <si>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</si>
  <si>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</si>
  <si>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</si>
  <si>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</si>
  <si>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</si>
  <si>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</si>
  <si>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</si>
  <si>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</si>
  <si>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</si>
  <si>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</si>
  <si>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</si>
  <si>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</si>
  <si>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</si>
  <si>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</si>
  <si>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</si>
  <si>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</si>
  <si>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</si>
  <si>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</si>
  <si>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</si>
  <si>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</si>
  <si>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</si>
  <si>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</si>
  <si>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</si>
  <si>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</si>
  <si>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</si>
  <si>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</si>
  <si>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</si>
  <si>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</si>
  <si>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</si>
  <si>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</si>
  <si>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</si>
  <si>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</si>
  <si>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</si>
  <si>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</si>
  <si>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</si>
  <si>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</si>
  <si>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</si>
  <si>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</si>
  <si>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</si>
  <si>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</si>
  <si>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</si>
  <si>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</si>
  <si>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</si>
  <si>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</si>
  <si>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</si>
  <si>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</si>
  <si>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</si>
  <si>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</si>
  <si>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</si>
  <si>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</si>
  <si>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</si>
  <si>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</si>
  <si>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</si>
  <si>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</si>
  <si>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</si>
  <si>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</si>
  <si>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</si>
  <si>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</si>
  <si>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</si>
  <si>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</si>
  <si>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</si>
  <si>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</si>
  <si>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</si>
  <si>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</si>
  <si>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</si>
  <si>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</si>
  <si>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</si>
  <si>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</si>
  <si>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</si>
  <si>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</si>
  <si>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</si>
  <si>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</si>
  <si>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</si>
  <si>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</si>
  <si>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</si>
  <si>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</si>
  <si>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</si>
  <si>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</si>
  <si>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</si>
  <si>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</si>
  <si>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</si>
  <si>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</si>
  <si>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</si>
  <si>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</si>
  <si>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</si>
  <si>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</si>
  <si>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</si>
  <si>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</si>
  <si>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</si>
  <si>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</si>
  <si>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</si>
  <si>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</si>
  <si>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</si>
  <si>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</si>
  <si>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</si>
  <si>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</si>
  <si>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</si>
  <si>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</si>
  <si>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</si>
  <si>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</si>
  <si>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</si>
  <si>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</si>
  <si>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</si>
  <si>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</si>
  <si>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</si>
  <si>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</si>
  <si>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</si>
  <si>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</si>
  <si>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</si>
  <si>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</si>
  <si>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</si>
  <si>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</si>
  <si>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</si>
  <si>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</si>
  <si>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</si>
  <si>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</si>
  <si>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</si>
  <si>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</si>
  <si>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</si>
  <si>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</si>
  <si>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</si>
  <si>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</si>
  <si>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</si>
  <si>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</si>
  <si>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</si>
  <si>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</si>
  <si>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</si>
  <si>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</si>
  <si>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</si>
  <si>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</si>
  <si>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</si>
  <si>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</si>
  <si>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</si>
  <si>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</si>
  <si>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</si>
  <si>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</si>
  <si>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</si>
  <si>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</si>
  <si>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</si>
  <si>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</si>
  <si>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</si>
  <si>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</si>
  <si>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</si>
  <si>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</si>
  <si>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</si>
  <si>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</si>
  <si>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</si>
  <si>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</si>
  <si>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</si>
  <si>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</si>
  <si>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</si>
  <si>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</si>
  <si>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</si>
  <si>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</si>
  <si>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</si>
  <si>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</si>
  <si>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</si>
  <si>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</si>
  <si>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</si>
  <si>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</si>
  <si>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</si>
  <si>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</si>
  <si>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</si>
  <si>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</si>
  <si>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</si>
  <si>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</si>
  <si>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</si>
  <si>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</si>
  <si>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</si>
  <si>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</si>
  <si>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</si>
  <si>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</si>
  <si>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</si>
  <si>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</si>
  <si>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</si>
  <si>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</si>
  <si>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</si>
  <si>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</si>
  <si>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</si>
  <si>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</si>
  <si>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</si>
  <si>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</si>
  <si>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</si>
  <si>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</si>
  <si>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</si>
  <si>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</si>
  <si>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</si>
  <si>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</si>
  <si>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</si>
  <si>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</si>
  <si>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</si>
  <si>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</si>
  <si>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</si>
  <si>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</si>
  <si>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</si>
  <si>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</si>
  <si>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</si>
  <si>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</si>
  <si>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</si>
  <si>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</si>
  <si>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</si>
  <si>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</si>
  <si>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</si>
  <si>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</si>
  <si>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</si>
  <si>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</si>
  <si>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</si>
  <si>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</si>
  <si>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</si>
  <si>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</si>
  <si>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</si>
  <si>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</si>
  <si>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</si>
  <si>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</si>
  <si>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</si>
  <si>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</si>
  <si>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</si>
  <si>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</si>
  <si>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</si>
  <si>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</si>
  <si>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</si>
  <si>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</si>
  <si>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</si>
  <si>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</si>
  <si>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</si>
  <si>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</si>
  <si>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</si>
  <si>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</si>
  <si>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</si>
  <si>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</si>
  <si>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</si>
  <si>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</si>
  <si>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</si>
  <si>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</si>
  <si>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</si>
  <si>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</si>
  <si>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</si>
  <si>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</si>
  <si>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</si>
  <si>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</si>
  <si>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</si>
  <si>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</si>
  <si>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</si>
  <si>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</si>
  <si>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</si>
  <si>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</si>
  <si>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</si>
  <si>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</si>
  <si>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</si>
  <si>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</si>
  <si>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</si>
  <si>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</si>
  <si>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</si>
  <si>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</si>
  <si>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</si>
  <si>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</si>
  <si>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</si>
  <si>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</si>
  <si>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</si>
  <si>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</si>
  <si>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</si>
  <si>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</si>
  <si>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</si>
  <si>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</si>
  <si>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</si>
  <si>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</si>
  <si>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</si>
  <si>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</si>
  <si>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</si>
  <si>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</si>
  <si>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</si>
  <si>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</si>
  <si>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</si>
  <si>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</si>
  <si>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</si>
  <si>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</si>
  <si>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</si>
  <si>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</si>
  <si>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</si>
  <si>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</si>
  <si>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</si>
  <si>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</si>
  <si>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</si>
  <si>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</si>
  <si>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</si>
  <si>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</si>
  <si>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</si>
  <si>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</si>
  <si>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</si>
  <si>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</si>
  <si>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</si>
  <si>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</si>
  <si>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</si>
  <si>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</si>
  <si>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</si>
  <si>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</si>
  <si>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</si>
  <si>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</si>
  <si>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</si>
  <si>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</si>
  <si>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</si>
  <si>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</si>
  <si>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</si>
  <si>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</si>
  <si>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</si>
  <si>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</si>
  <si>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</si>
  <si>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</si>
  <si>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</si>
  <si>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</si>
  <si>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</si>
  <si>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</si>
  <si>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</si>
  <si>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</si>
  <si>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</si>
  <si>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</si>
  <si>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</si>
  <si>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</si>
  <si>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</si>
  <si>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</si>
  <si>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</si>
  <si>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</si>
  <si>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</si>
  <si>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</si>
  <si>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</si>
  <si>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</si>
  <si>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</si>
  <si>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</si>
  <si>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</si>
  <si>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</si>
  <si>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</si>
  <si>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</si>
  <si>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</si>
  <si>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</si>
  <si>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</si>
  <si>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</si>
  <si>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</si>
  <si>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</si>
  <si>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</si>
  <si>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</si>
  <si>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</si>
  <si>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</si>
  <si>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</si>
  <si>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</si>
  <si>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</si>
  <si>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</si>
  <si>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</si>
  <si>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</si>
  <si>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</si>
  <si>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</si>
  <si>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</si>
  <si>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</si>
  <si>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</si>
  <si>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</si>
  <si>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</si>
  <si>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</si>
  <si>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</si>
  <si>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</si>
  <si>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</si>
  <si>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</si>
  <si>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</si>
  <si>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</si>
  <si>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</si>
  <si>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</si>
  <si>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</si>
  <si>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</si>
  <si>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</si>
  <si>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</si>
  <si>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</si>
  <si>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</si>
  <si>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</si>
  <si>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</si>
  <si>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</si>
  <si>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</si>
  <si>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</si>
  <si>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</si>
  <si>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</si>
  <si>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</si>
  <si>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</si>
  <si>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</si>
  <si>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</si>
  <si>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</si>
  <si>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</si>
  <si>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</si>
  <si>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</si>
  <si>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</si>
  <si>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</si>
  <si>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</si>
  <si>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</si>
  <si>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</si>
  <si>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</si>
  <si>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</si>
  <si>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</si>
  <si>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</si>
  <si>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</si>
  <si>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</si>
  <si>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</si>
  <si>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</si>
  <si>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</si>
  <si>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</si>
  <si>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</si>
  <si>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</si>
  <si>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</si>
  <si>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</si>
  <si>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</si>
  <si>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</si>
  <si>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</si>
  <si>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</si>
  <si>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</si>
  <si>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</si>
  <si>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</si>
  <si>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</si>
  <si>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</si>
  <si>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</si>
  <si>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</si>
  <si>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</si>
  <si>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</si>
  <si>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</si>
  <si>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</si>
  <si>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</si>
  <si>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</si>
  <si>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</si>
  <si>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</si>
  <si>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</si>
  <si>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</si>
  <si>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</si>
  <si>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</si>
  <si>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</si>
  <si>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</si>
  <si>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</si>
  <si>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</si>
  <si>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</si>
  <si>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</si>
  <si>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</si>
  <si>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</si>
  <si>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</si>
  <si>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</si>
  <si>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</si>
  <si>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</si>
  <si>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</si>
  <si>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</si>
  <si>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</si>
  <si>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</si>
  <si>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</si>
  <si>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</si>
  <si>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</si>
  <si>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</si>
  <si>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</si>
  <si>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</si>
  <si>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</si>
  <si>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</si>
  <si>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</si>
  <si>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</si>
  <si>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</si>
  <si>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</si>
  <si>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</si>
  <si>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</si>
  <si>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</si>
  <si>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</si>
  <si>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</si>
  <si>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</si>
  <si>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</si>
  <si>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</si>
  <si>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</si>
  <si>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</si>
  <si>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</si>
  <si>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</si>
  <si>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</si>
  <si>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</si>
  <si>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</si>
  <si>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</si>
  <si>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</si>
  <si>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</si>
  <si>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</si>
  <si>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</si>
  <si>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</si>
  <si>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</si>
  <si>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</si>
  <si>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</si>
  <si>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</si>
  <si>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</si>
  <si>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</si>
  <si>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</si>
  <si>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</si>
  <si>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</si>
  <si>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</si>
  <si>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</si>
  <si>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</si>
  <si>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</si>
  <si>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</si>
  <si>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</si>
  <si>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</si>
  <si>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</si>
  <si>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</si>
  <si>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</si>
  <si>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</si>
  <si>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</si>
  <si>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</si>
  <si>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</si>
  <si>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</si>
  <si>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</si>
  <si>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</si>
  <si>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</si>
  <si>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</si>
  <si>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</si>
  <si>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</si>
  <si>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</si>
  <si>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</si>
  <si>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</si>
  <si>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</si>
  <si>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</si>
  <si>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</si>
  <si>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</si>
  <si>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</si>
  <si>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</si>
  <si>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</si>
  <si>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</si>
  <si>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</si>
  <si>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</si>
  <si>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</si>
  <si>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</si>
  <si>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</si>
  <si>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</si>
  <si>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</si>
  <si>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</si>
  <si>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</si>
  <si>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</si>
  <si>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</si>
  <si>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</si>
  <si>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</si>
  <si>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</si>
  <si>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</si>
  <si>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</si>
  <si>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</si>
  <si>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</si>
  <si>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</si>
  <si>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</si>
  <si>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</si>
  <si>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</si>
  <si>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</si>
  <si>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</si>
  <si>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</si>
  <si>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</si>
  <si>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</si>
  <si>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</si>
  <si>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</si>
  <si>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</si>
  <si>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</si>
  <si>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</si>
  <si>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</si>
  <si>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</si>
  <si>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</si>
  <si>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</si>
  <si>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</si>
  <si>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</si>
  <si>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</si>
  <si>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</si>
  <si>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</si>
  <si>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</si>
  <si>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</si>
  <si>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</si>
  <si>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</si>
  <si>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</si>
  <si>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</si>
  <si>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</si>
  <si>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</si>
  <si>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</si>
  <si>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</si>
  <si>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</si>
  <si>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</si>
  <si>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</si>
  <si>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</si>
  <si>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</si>
  <si>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</si>
  <si>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</si>
  <si>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</si>
  <si>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</si>
  <si>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</si>
  <si>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</si>
  <si>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</si>
  <si>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</si>
  <si>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</si>
  <si>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</si>
  <si>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</si>
  <si>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</si>
  <si>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</si>
  <si>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</si>
  <si>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</si>
  <si>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</si>
  <si>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</si>
  <si>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</si>
  <si>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</si>
  <si>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</si>
  <si>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</si>
  <si>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</si>
  <si>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</si>
  <si>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</si>
  <si>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</si>
  <si>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</si>
  <si>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</si>
  <si>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</si>
  <si>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</si>
  <si>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</si>
  <si>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</si>
  <si>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</si>
  <si>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</si>
  <si>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</si>
  <si>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</si>
  <si>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</si>
  <si>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</si>
  <si>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</si>
  <si>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</si>
  <si>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</si>
  <si>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</si>
  <si>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</si>
  <si>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</si>
  <si>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</si>
  <si>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</si>
  <si>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</si>
  <si>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</si>
  <si>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</si>
  <si>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</si>
  <si>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</si>
  <si>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</si>
  <si>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</si>
  <si>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</si>
  <si>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</si>
  <si>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</si>
  <si>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</si>
  <si>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</si>
  <si>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</si>
  <si>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</si>
  <si>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</si>
  <si>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</si>
  <si>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</si>
  <si>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</si>
  <si>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</si>
  <si>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</si>
  <si>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</si>
  <si>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</si>
  <si>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</si>
  <si>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</si>
  <si>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</si>
  <si>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</si>
  <si>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</si>
  <si>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</si>
  <si>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</si>
  <si>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</si>
  <si>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</si>
  <si>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</si>
  <si>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</si>
  <si>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</si>
  <si>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</si>
  <si>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</si>
  <si>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</si>
  <si>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</si>
  <si>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</si>
  <si>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</si>
  <si>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</si>
  <si>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</si>
  <si>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</si>
  <si>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</si>
  <si>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</si>
  <si>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</si>
  <si>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</si>
  <si>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</si>
  <si>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</si>
  <si>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</si>
  <si>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</si>
  <si>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</si>
  <si>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</si>
  <si>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</si>
  <si>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</si>
  <si>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</si>
  <si>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</si>
  <si>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</si>
  <si>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</si>
  <si>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</si>
  <si>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</si>
  <si>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</si>
  <si>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</si>
  <si>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</si>
  <si>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</si>
  <si>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</si>
  <si>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</si>
  <si>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</si>
  <si>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</si>
  <si>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</si>
  <si>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</si>
  <si>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</si>
  <si>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</si>
  <si>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</si>
  <si>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</si>
  <si>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</si>
  <si>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</si>
  <si>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</si>
  <si>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</si>
  <si>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</si>
  <si>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</si>
  <si>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</si>
  <si>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</si>
  <si>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</si>
  <si>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</si>
  <si>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</si>
  <si>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</si>
  <si>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</si>
  <si>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</si>
  <si>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</si>
  <si>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</si>
  <si>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</si>
  <si>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</si>
  <si>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</si>
  <si>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</si>
  <si>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</si>
  <si>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</si>
  <si>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</si>
  <si>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</si>
  <si>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</si>
  <si>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</si>
  <si>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</si>
  <si>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</si>
  <si>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</si>
  <si>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</si>
  <si>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</si>
  <si>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</si>
  <si>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</si>
  <si>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</si>
  <si>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</si>
  <si>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</si>
  <si>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</si>
  <si>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</si>
  <si>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</si>
  <si>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</si>
  <si>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</si>
  <si>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</si>
  <si>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</si>
  <si>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</si>
  <si>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</si>
  <si>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</si>
  <si>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</si>
  <si>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</si>
  <si>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</si>
  <si>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</si>
  <si>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</si>
  <si>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</si>
  <si>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</si>
  <si>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</si>
  <si>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</si>
  <si>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</si>
  <si>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</si>
  <si>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</si>
  <si>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</si>
  <si>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</si>
  <si>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</si>
  <si>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</si>
  <si>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</si>
  <si>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</si>
  <si>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</si>
  <si>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</si>
  <si>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</si>
  <si>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</si>
  <si>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</si>
  <si>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</si>
  <si>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</si>
  <si>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</si>
  <si>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</si>
  <si>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</si>
  <si>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</si>
  <si>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</si>
  <si>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</si>
  <si>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</si>
  <si>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</si>
  <si>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</si>
  <si>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</si>
  <si>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</si>
  <si>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</si>
  <si>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</si>
  <si>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</si>
  <si>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</si>
  <si>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</si>
  <si>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</si>
  <si>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</si>
  <si>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</si>
  <si>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</si>
  <si>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</si>
  <si>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</si>
  <si>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</si>
  <si>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</si>
  <si>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</si>
  <si>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</si>
  <si>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</si>
  <si>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</si>
  <si>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</si>
  <si>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</si>
  <si>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</si>
  <si>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</si>
  <si>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</si>
  <si>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</si>
  <si>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</si>
  <si>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</si>
  <si>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</si>
  <si>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</si>
  <si>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</si>
  <si>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</si>
  <si>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</si>
  <si>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</si>
  <si>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</si>
  <si>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</si>
  <si>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</si>
  <si>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</si>
  <si>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</si>
  <si>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</si>
  <si>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</si>
  <si>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</si>
  <si>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</si>
  <si>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</si>
  <si>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</si>
  <si>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</si>
  <si>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</si>
  <si>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</si>
  <si>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</si>
  <si>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</si>
  <si>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</si>
  <si>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</si>
  <si>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</si>
  <si>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</si>
  <si>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</si>
  <si>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</si>
  <si>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</si>
  <si>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</si>
  <si>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</si>
  <si>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</si>
  <si>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</si>
  <si>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</si>
  <si>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</si>
  <si>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</si>
  <si>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</si>
  <si>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</si>
  <si>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</si>
  <si>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</si>
  <si>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</si>
  <si>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</si>
  <si>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</si>
  <si>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</si>
  <si>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</si>
  <si>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</si>
  <si>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</si>
  <si>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</si>
  <si>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</si>
  <si>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</si>
  <si>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</si>
  <si>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</si>
  <si>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</si>
  <si>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</si>
  <si>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</si>
  <si>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</si>
  <si>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</si>
  <si>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</si>
  <si>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</si>
  <si>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</si>
  <si>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</si>
  <si>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</si>
  <si>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</si>
  <si>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</si>
  <si>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</si>
  <si>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</si>
  <si>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</si>
  <si>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</si>
  <si>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</si>
  <si>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</si>
  <si>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</si>
  <si>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</si>
  <si>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</si>
  <si>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</si>
  <si>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</si>
  <si>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</si>
  <si>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</si>
  <si>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</si>
  <si>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</si>
  <si>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</si>
  <si>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</si>
  <si>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</si>
  <si>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</si>
  <si>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</si>
  <si>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</si>
  <si>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</si>
  <si>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</si>
  <si>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</si>
  <si>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</si>
  <si>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</si>
  <si>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</si>
  <si>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</si>
  <si>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</si>
  <si>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</si>
  <si>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</si>
  <si>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</si>
  <si>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</si>
  <si>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</si>
  <si>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</si>
  <si>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</si>
  <si>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</si>
  <si>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</si>
  <si>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</si>
  <si>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</si>
  <si>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</si>
  <si>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</si>
  <si>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</si>
  <si>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</si>
  <si>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</si>
  <si>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</si>
  <si>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</si>
  <si>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</si>
  <si>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</si>
  <si>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</si>
  <si>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</si>
  <si>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</si>
  <si>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</si>
  <si>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</si>
  <si>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</si>
  <si>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</si>
  <si>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</si>
  <si>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</si>
  <si>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</si>
  <si>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</si>
  <si>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</si>
  <si>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</si>
  <si>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</si>
  <si>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</si>
  <si>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</si>
  <si>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</si>
  <si>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</si>
  <si>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</si>
  <si>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</si>
  <si>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</si>
  <si>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</si>
  <si>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</si>
  <si>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</si>
  <si>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</si>
  <si>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</si>
  <si>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</si>
  <si>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</si>
  <si>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</si>
  <si>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</si>
  <si>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</si>
  <si>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</si>
  <si>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</si>
  <si>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</si>
  <si>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</si>
  <si>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</si>
  <si>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</si>
  <si>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</si>
  <si>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</si>
  <si>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</si>
  <si>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</si>
  <si>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</si>
  <si>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</si>
  <si>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</si>
  <si>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</si>
  <si>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</si>
  <si>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</si>
  <si>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</si>
  <si>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</si>
  <si>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</si>
  <si>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</si>
  <si>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</si>
  <si>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</si>
  <si>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</si>
  <si>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</si>
  <si>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</si>
  <si>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</si>
  <si>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</si>
  <si>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</si>
  <si>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</si>
  <si>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</si>
  <si>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</si>
  <si>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</si>
  <si>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</si>
  <si>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</si>
  <si>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</si>
  <si>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</si>
  <si>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</si>
  <si>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</si>
  <si>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</si>
  <si>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</si>
  <si>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</si>
  <si>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</si>
  <si>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</si>
  <si>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</si>
  <si>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</si>
  <si>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</si>
  <si>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</si>
  <si>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</si>
  <si>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</si>
  <si>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</si>
  <si>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</si>
  <si>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</si>
  <si>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</si>
  <si>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</si>
  <si>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</si>
  <si>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</si>
  <si>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</si>
  <si>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</si>
  <si>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</si>
  <si>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</si>
  <si>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</si>
  <si>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</si>
  <si>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</si>
  <si>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</si>
  <si>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</si>
  <si>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</si>
  <si>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</si>
  <si>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</si>
  <si>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</si>
  <si>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</si>
  <si>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</si>
  <si>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</si>
  <si>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</si>
  <si>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</si>
  <si>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</si>
  <si>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</si>
  <si>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</si>
  <si>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</si>
  <si>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</si>
  <si>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</si>
  <si>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</si>
  <si>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</si>
  <si>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</si>
  <si>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</si>
  <si>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</si>
  <si>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</si>
  <si>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</si>
  <si>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</si>
  <si>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</si>
  <si>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</si>
  <si>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</si>
  <si>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</si>
  <si>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</si>
  <si>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</si>
  <si>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</si>
  <si>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</si>
  <si>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</si>
  <si>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</si>
  <si>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</si>
  <si>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</si>
  <si>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</si>
  <si>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</si>
  <si>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</si>
  <si>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</si>
  <si>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</si>
  <si>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</si>
  <si>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</si>
  <si>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</si>
  <si>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</si>
  <si>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</si>
  <si>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</si>
  <si>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</si>
  <si>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</si>
  <si>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</si>
  <si>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</si>
  <si>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</si>
  <si>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</si>
  <si>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</si>
  <si>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</si>
  <si>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</si>
  <si>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</si>
  <si>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</si>
  <si>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</si>
  <si>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</si>
  <si>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</si>
  <si>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</si>
  <si>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</si>
  <si>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</si>
  <si>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</si>
  <si>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</si>
  <si>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</si>
  <si>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</si>
  <si>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</si>
  <si>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</si>
  <si>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</si>
  <si>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</si>
  <si>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</si>
  <si>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</si>
  <si>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</si>
  <si>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</si>
  <si>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</si>
  <si>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</si>
  <si>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</si>
  <si>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</si>
  <si>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</si>
  <si>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</si>
  <si>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</si>
  <si>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</si>
  <si>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</si>
  <si>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</si>
  <si>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</si>
  <si>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</si>
  <si>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</si>
  <si>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</si>
  <si>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</si>
  <si>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</si>
  <si>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</si>
  <si>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</si>
  <si>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</si>
  <si>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</si>
  <si>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</si>
  <si>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</si>
  <si>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</si>
  <si>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</si>
  <si>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</si>
  <si>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</si>
  <si>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</si>
  <si>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</si>
  <si>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</si>
  <si>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</si>
  <si>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</si>
  <si>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</si>
  <si>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</si>
  <si>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</si>
  <si>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</si>
  <si>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</si>
  <si>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</si>
  <si>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</si>
  <si>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</si>
  <si>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</si>
  <si>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</si>
  <si>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</si>
  <si>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</si>
  <si>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</si>
  <si>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</si>
  <si>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</si>
  <si>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</si>
  <si>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</si>
  <si>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</si>
  <si>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</si>
  <si>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</si>
  <si>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</si>
  <si>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</si>
  <si>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</si>
  <si>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</si>
  <si>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</si>
  <si>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</si>
  <si>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</si>
  <si>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</si>
  <si>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</si>
  <si>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</si>
  <si>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</si>
  <si>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</si>
  <si>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</si>
  <si>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</si>
  <si>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</si>
  <si>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</si>
  <si>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</si>
  <si>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</si>
  <si>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</si>
  <si>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</si>
  <si>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</si>
  <si>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</si>
  <si>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</si>
  <si>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</si>
  <si>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</si>
  <si>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</si>
  <si>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</si>
  <si>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</si>
  <si>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</si>
  <si>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</si>
  <si>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</si>
  <si>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</si>
  <si>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</si>
  <si>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</si>
  <si>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</si>
  <si>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</si>
  <si>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</si>
  <si>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</si>
  <si>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</si>
  <si>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</si>
  <si>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</si>
  <si>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</si>
  <si>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</si>
  <si>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</si>
  <si>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</si>
  <si>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</si>
  <si>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</si>
  <si>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</si>
  <si>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</si>
  <si>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</si>
  <si>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</si>
  <si>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</si>
  <si>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</si>
  <si>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</si>
  <si>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</si>
  <si>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</si>
  <si>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</si>
  <si>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</si>
  <si>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</si>
  <si>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</si>
  <si>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</si>
  <si>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</si>
  <si>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</si>
  <si>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</si>
  <si>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</si>
  <si>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</si>
  <si>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</si>
  <si>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</si>
  <si>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</si>
  <si>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</si>
  <si>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</si>
  <si>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</si>
  <si>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</si>
  <si>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</si>
  <si>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</si>
  <si>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</si>
  <si>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</si>
  <si>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</si>
  <si>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</si>
  <si>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</si>
  <si>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</si>
  <si>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</si>
  <si>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</si>
  <si>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</si>
  <si>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</si>
  <si>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</si>
  <si>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</si>
  <si>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</si>
  <si>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</si>
  <si>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</si>
  <si>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</si>
  <si>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</si>
  <si>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</si>
  <si>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</si>
  <si>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</si>
  <si>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</si>
  <si>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</si>
  <si>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</si>
  <si>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</si>
  <si>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</si>
  <si>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</si>
  <si>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</si>
  <si>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</si>
  <si>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</si>
  <si>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</si>
  <si>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</si>
  <si>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</si>
  <si>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</si>
  <si>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</si>
  <si>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</si>
  <si>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</si>
  <si>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</si>
  <si>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</si>
  <si>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</si>
  <si>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</si>
  <si>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</si>
  <si>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</si>
  <si>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</si>
  <si>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</si>
  <si>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</si>
  <si>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</si>
  <si>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</si>
  <si>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</si>
  <si>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</si>
  <si>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</si>
  <si>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</si>
  <si>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</si>
  <si>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</si>
  <si>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</si>
  <si>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</si>
  <si>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</si>
  <si>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</si>
  <si>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</si>
  <si>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</si>
  <si>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</si>
  <si>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</si>
  <si>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</si>
  <si>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</si>
  <si>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</si>
  <si>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</si>
  <si>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</si>
  <si>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</si>
  <si>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</si>
  <si>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</si>
  <si>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</si>
  <si>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</si>
  <si>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</si>
  <si>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</si>
  <si>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</si>
  <si>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</si>
  <si>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</si>
  <si>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</si>
  <si>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</si>
  <si>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</si>
  <si>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</si>
  <si>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</si>
  <si>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</si>
  <si>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</si>
  <si>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</si>
  <si>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</si>
  <si>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</si>
  <si>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</si>
  <si>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</si>
  <si>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</si>
  <si>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</si>
  <si>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</si>
  <si>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</si>
  <si>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</si>
  <si>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</si>
  <si>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</si>
  <si>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</si>
  <si>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</si>
  <si>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</si>
  <si>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</si>
  <si>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</si>
  <si>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</si>
  <si>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</si>
  <si>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</si>
  <si>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</si>
  <si>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</si>
  <si>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</si>
  <si>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</si>
  <si>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</si>
  <si>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</si>
  <si>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</si>
  <si>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</si>
  <si>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</si>
  <si>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</si>
  <si>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</si>
  <si>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</si>
  <si>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</si>
  <si>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</si>
  <si>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</si>
  <si>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</si>
  <si>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</si>
  <si>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</si>
  <si>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</si>
  <si>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</si>
  <si>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</si>
  <si>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</si>
  <si>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</si>
  <si>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</si>
  <si>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</si>
  <si>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</si>
  <si>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</si>
  <si>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</si>
  <si>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</si>
  <si>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</si>
  <si>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</si>
  <si>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</si>
  <si>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</si>
  <si>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</si>
  <si>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</si>
  <si>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</si>
  <si>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</si>
  <si>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</si>
  <si>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</si>
  <si>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</si>
  <si>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</si>
  <si>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</si>
  <si>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</si>
  <si>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</si>
  <si>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</si>
  <si>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</si>
  <si>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</si>
  <si>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</si>
  <si>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</si>
  <si>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</si>
  <si>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</si>
  <si>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</si>
  <si>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</si>
  <si>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</si>
  <si>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</si>
  <si>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</si>
  <si>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</si>
  <si>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</si>
  <si>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</si>
  <si>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</si>
  <si>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</si>
  <si>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</si>
  <si>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</si>
  <si>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</si>
  <si>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</si>
  <si>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</si>
  <si>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</si>
  <si>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</si>
  <si>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</si>
  <si>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</si>
  <si>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</si>
  <si>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</si>
  <si>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</si>
  <si>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</si>
  <si>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</si>
  <si>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</si>
  <si>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</si>
  <si>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</si>
  <si>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</si>
  <si>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</si>
  <si>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</si>
  <si>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</si>
  <si>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</si>
  <si>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</si>
  <si>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</si>
  <si>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</si>
  <si>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</si>
  <si>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</si>
  <si>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</si>
  <si>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</si>
  <si>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</si>
  <si>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</si>
  <si>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</si>
  <si>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</si>
  <si>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</si>
  <si>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</si>
  <si>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</si>
  <si>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</si>
  <si>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</si>
  <si>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</si>
  <si>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</si>
  <si>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</si>
  <si>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</si>
  <si>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</si>
  <si>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</si>
  <si>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</si>
  <si>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</si>
  <si>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</si>
  <si>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</si>
  <si>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</si>
  <si>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</si>
  <si>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</si>
  <si>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</si>
  <si>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</si>
  <si>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</si>
  <si>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</si>
  <si>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</si>
  <si>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</si>
  <si>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</si>
  <si>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</si>
  <si>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</si>
  <si>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</si>
  <si>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</si>
  <si>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</si>
  <si>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</si>
  <si>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</si>
  <si>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</si>
  <si>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</si>
  <si>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</si>
  <si>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</si>
  <si>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</si>
  <si>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</si>
  <si>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</si>
  <si>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</si>
  <si>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</si>
  <si>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</si>
  <si>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</si>
  <si>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</si>
  <si>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</si>
  <si>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</si>
  <si>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</si>
  <si>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</si>
  <si>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</si>
  <si>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</si>
  <si>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</si>
  <si>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</si>
  <si>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</si>
  <si>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</si>
  <si>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</si>
  <si>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</si>
  <si>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</si>
  <si>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</si>
  <si>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</si>
  <si>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</si>
  <si>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</si>
  <si>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</si>
  <si>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</si>
  <si>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</si>
  <si>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</si>
  <si>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</si>
  <si>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</si>
  <si>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</si>
  <si>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</si>
  <si>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</si>
  <si>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</si>
  <si>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</si>
  <si>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</si>
  <si>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</si>
  <si>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</si>
  <si>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</si>
  <si>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</si>
  <si>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</si>
  <si>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</si>
  <si>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</si>
  <si>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</si>
  <si>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</si>
  <si>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</si>
  <si>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</si>
  <si>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</si>
  <si>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</si>
  <si>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</si>
  <si>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</si>
  <si>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</si>
  <si>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</si>
  <si>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</si>
  <si>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</si>
  <si>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</si>
  <si>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</si>
  <si>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</si>
  <si>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</si>
  <si>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</si>
  <si>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</si>
  <si>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</si>
  <si>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</si>
  <si>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</si>
  <si>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</si>
  <si>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</si>
  <si>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</si>
  <si>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</si>
  <si>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</si>
  <si>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</si>
  <si>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</si>
  <si>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</si>
  <si>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</si>
  <si>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</si>
  <si>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</si>
  <si>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</si>
  <si>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</si>
  <si>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</si>
  <si>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</si>
  <si>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</si>
  <si>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</si>
  <si>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</si>
  <si>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</si>
  <si>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</si>
  <si>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</si>
  <si>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</si>
  <si>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</si>
  <si>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</si>
  <si>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</si>
  <si>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</si>
  <si>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</si>
  <si>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</si>
  <si>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</si>
  <si>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</si>
  <si>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</si>
  <si>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</si>
  <si>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</si>
  <si>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</si>
  <si>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</si>
  <si>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</si>
  <si>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</si>
  <si>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</si>
  <si>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</si>
  <si>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</si>
  <si>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</si>
  <si>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</si>
  <si>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</si>
  <si>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</si>
  <si>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</si>
  <si>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</si>
  <si>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</si>
  <si>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</si>
  <si>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</si>
  <si>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</si>
  <si>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</si>
  <si>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</si>
  <si>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</si>
  <si>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</si>
  <si>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</si>
  <si>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</si>
  <si>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</si>
  <si>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</si>
  <si>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</si>
  <si>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</si>
  <si>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</si>
  <si>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</si>
  <si>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</si>
  <si>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</si>
  <si>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</si>
  <si>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</si>
  <si>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</si>
  <si>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</si>
  <si>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</si>
  <si>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</si>
  <si>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</si>
  <si>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</si>
  <si>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</si>
  <si>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</si>
  <si>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</si>
  <si>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</si>
  <si>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</si>
  <si>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</si>
  <si>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</si>
  <si>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</si>
  <si>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</si>
  <si>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</si>
  <si>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</si>
  <si>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</si>
  <si>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</si>
  <si>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</si>
  <si>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</si>
  <si>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</si>
  <si>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</si>
  <si>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</si>
  <si>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</si>
  <si>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</si>
  <si>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</si>
  <si>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</si>
  <si>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</si>
  <si>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</si>
  <si>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</si>
  <si>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</si>
  <si>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</si>
  <si>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</si>
  <si>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</si>
  <si>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</si>
  <si>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</si>
  <si>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</si>
  <si>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</si>
  <si>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</si>
  <si>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</si>
  <si>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</si>
  <si>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</si>
  <si>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</si>
  <si>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</si>
  <si>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</si>
  <si>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</si>
  <si>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</si>
  <si>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</si>
  <si>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</si>
  <si>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</si>
  <si>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</si>
  <si>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</si>
  <si>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</si>
  <si>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</si>
  <si>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</si>
  <si>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</si>
  <si>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</si>
  <si>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</si>
  <si>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</si>
  <si>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</si>
  <si>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</si>
  <si>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</si>
  <si>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</si>
  <si>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</si>
  <si>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</si>
  <si>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</si>
  <si>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</si>
  <si>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</si>
  <si>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</si>
  <si>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</si>
  <si>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</si>
  <si>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</si>
  <si>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</si>
  <si>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</si>
  <si>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</si>
  <si>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</si>
  <si>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</si>
  <si>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</si>
  <si>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</si>
  <si>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</si>
  <si>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</si>
  <si>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</si>
  <si>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</si>
  <si>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</si>
  <si>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</si>
  <si>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</si>
  <si>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</si>
  <si>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</si>
  <si>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</si>
  <si>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</si>
  <si>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</si>
  <si>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</si>
  <si>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</si>
  <si>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</si>
  <si>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</si>
  <si>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</si>
  <si>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</si>
  <si>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</si>
  <si>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</si>
  <si>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</si>
  <si>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</si>
  <si>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</si>
  <si>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</si>
  <si>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</si>
  <si>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</si>
  <si>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</si>
  <si>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</si>
  <si>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</si>
  <si>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</si>
  <si>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</si>
  <si>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</si>
  <si>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</si>
  <si>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</si>
  <si>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</si>
  <si>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</si>
  <si>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</si>
  <si>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</si>
  <si>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</si>
  <si>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</si>
  <si>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</si>
  <si>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</si>
  <si>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</si>
  <si>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</si>
  <si>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</si>
  <si>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</si>
  <si>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</si>
  <si>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</si>
  <si>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</si>
  <si>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</si>
  <si>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</si>
  <si>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</si>
  <si>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</si>
  <si>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</si>
  <si>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</si>
  <si>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</si>
  <si>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</si>
  <si>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</si>
  <si>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</si>
  <si>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</si>
  <si>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</si>
  <si>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</si>
  <si>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</si>
  <si>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</si>
  <si>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</si>
  <si>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</si>
  <si>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</si>
  <si>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</si>
  <si>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</si>
  <si>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</si>
  <si>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</si>
  <si>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</si>
  <si>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</si>
  <si>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</si>
  <si>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</si>
  <si>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</si>
  <si>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</si>
  <si>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</si>
  <si>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</si>
  <si>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</si>
  <si>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</si>
  <si>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</si>
  <si>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</si>
  <si>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</si>
  <si>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</si>
  <si>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</si>
  <si>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</si>
  <si>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</si>
  <si>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</si>
  <si>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</si>
  <si>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</si>
  <si>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</si>
  <si>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</si>
  <si>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</si>
  <si>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</si>
  <si>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</si>
  <si>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</si>
  <si>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</si>
  <si>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</si>
  <si>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</si>
  <si>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</si>
  <si>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</si>
  <si>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</si>
  <si>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</si>
  <si>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</si>
  <si>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</si>
  <si>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</si>
  <si>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</si>
  <si>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</si>
  <si>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</si>
  <si>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</si>
  <si>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</si>
  <si>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</si>
  <si>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</si>
  <si>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</si>
  <si>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</si>
  <si>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</si>
  <si>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</si>
  <si>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</si>
  <si>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</si>
  <si>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</si>
  <si>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</si>
  <si>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</si>
  <si>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</si>
  <si>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</si>
  <si>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</si>
  <si>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</si>
  <si>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</si>
  <si>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</si>
  <si>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</si>
  <si>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</si>
  <si>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</si>
  <si>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</si>
  <si>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</si>
  <si>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</si>
  <si>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</si>
  <si>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</si>
  <si>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</si>
  <si>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</si>
  <si>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</si>
  <si>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</si>
  <si>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</si>
  <si>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</si>
  <si>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</si>
  <si>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</si>
  <si>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</si>
  <si>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</si>
  <si>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</si>
  <si>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</si>
  <si>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</si>
  <si>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</si>
  <si>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</si>
  <si>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</si>
  <si>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</si>
  <si>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</si>
  <si>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</si>
  <si>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</si>
  <si>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</si>
  <si>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</si>
  <si>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</si>
  <si>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</si>
  <si>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</si>
  <si>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</si>
  <si>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</si>
  <si>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</si>
  <si>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</si>
  <si>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</si>
  <si>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</si>
  <si>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</si>
  <si>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</si>
  <si>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</si>
  <si>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</si>
  <si>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</si>
  <si>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</si>
  <si>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</si>
  <si>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</si>
  <si>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</si>
  <si>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</si>
  <si>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</si>
  <si>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</si>
  <si>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</si>
  <si>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</si>
  <si>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</si>
  <si>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</si>
  <si>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</si>
  <si>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</si>
  <si>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</si>
  <si>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</si>
  <si>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</si>
  <si>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</si>
  <si>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</si>
  <si>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</si>
  <si>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</si>
  <si>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</si>
  <si>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</si>
  <si>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</si>
  <si>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</si>
  <si>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</si>
  <si>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</si>
  <si>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</si>
  <si>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</si>
  <si>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</si>
  <si>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</si>
  <si>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</si>
  <si>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</si>
  <si>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</si>
  <si>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</si>
  <si>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</si>
  <si>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</si>
  <si>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</si>
  <si>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</si>
  <si>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</si>
  <si>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</si>
  <si>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</si>
  <si>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</si>
  <si>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</si>
  <si>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</si>
  <si>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</si>
  <si>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</si>
  <si>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</si>
  <si>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</si>
  <si>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</si>
  <si>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</si>
  <si>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</si>
  <si>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</si>
  <si>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</si>
  <si>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</si>
  <si>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</si>
  <si>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</si>
  <si>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</si>
  <si>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</si>
  <si>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</si>
  <si>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</si>
  <si>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</si>
  <si>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</si>
  <si>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</si>
  <si>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</si>
  <si>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</si>
  <si>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</si>
  <si>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</si>
  <si>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</si>
  <si>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</si>
  <si>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</si>
  <si>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</si>
  <si>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</si>
  <si>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</si>
  <si>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</si>
  <si>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</si>
  <si>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</si>
  <si>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</si>
  <si>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</si>
  <si>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</si>
  <si>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</si>
  <si>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</si>
  <si>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</si>
  <si>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</si>
  <si>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</si>
  <si>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</si>
  <si>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</si>
  <si>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</si>
  <si>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</si>
  <si>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</si>
  <si>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</si>
  <si>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</si>
  <si>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</si>
  <si>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</si>
  <si>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</si>
  <si>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</si>
  <si>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</si>
  <si>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</si>
  <si>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</si>
  <si>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</si>
  <si>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</si>
  <si>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</si>
  <si>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</si>
  <si>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</si>
  <si>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</si>
  <si>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</si>
  <si>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</si>
  <si>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</si>
  <si>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</si>
  <si>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</si>
  <si>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</si>
  <si>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</si>
  <si>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</si>
  <si>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</si>
  <si>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</si>
  <si>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</si>
  <si>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</si>
  <si>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</si>
  <si>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</si>
  <si>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</si>
  <si>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</si>
  <si>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</si>
  <si>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</si>
  <si>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</si>
  <si>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</si>
  <si>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</si>
  <si>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</si>
  <si>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</si>
  <si>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</si>
  <si>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</si>
  <si>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</si>
  <si>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</si>
  <si>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</si>
  <si>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</si>
  <si>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</si>
  <si>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</si>
  <si>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</si>
  <si>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</si>
  <si>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</si>
  <si>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</si>
  <si>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</si>
  <si>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</si>
  <si>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</si>
  <si>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</si>
  <si>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</si>
  <si>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</si>
  <si>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</si>
  <si>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</si>
  <si>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</si>
  <si>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</si>
  <si>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</si>
  <si>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</si>
  <si>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</si>
  <si>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</si>
  <si>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</si>
  <si>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</si>
  <si>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</si>
  <si>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</si>
  <si>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</si>
  <si>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</si>
  <si>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</si>
  <si>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</si>
  <si>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</si>
  <si>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</si>
  <si>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</si>
  <si>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</si>
  <si>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</si>
  <si>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</si>
  <si>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</si>
  <si>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</si>
  <si>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</si>
  <si>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</si>
  <si>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</si>
  <si>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</si>
  <si>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</si>
  <si>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</si>
  <si>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</si>
  <si>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</si>
  <si>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</si>
  <si>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</si>
  <si>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</si>
  <si>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</si>
  <si>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</si>
  <si>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</si>
  <si>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</si>
  <si>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</si>
  <si>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</si>
  <si>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</si>
  <si>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</si>
  <si>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</si>
  <si>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</si>
  <si>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</si>
  <si>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</si>
  <si>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</si>
  <si>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</si>
  <si>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</si>
  <si>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</si>
  <si>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</si>
  <si>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</si>
  <si>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</si>
  <si>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</si>
  <si>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</si>
  <si>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</si>
  <si>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</si>
  <si>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</si>
  <si>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</si>
  <si>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</si>
  <si>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</si>
  <si>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</si>
  <si>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</si>
  <si>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</si>
  <si>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</si>
  <si>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</si>
  <si>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</si>
  <si>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</si>
  <si>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</si>
  <si>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</si>
  <si>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</si>
  <si>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</si>
  <si>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</si>
  <si>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</si>
  <si>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</si>
  <si>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</si>
  <si>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</si>
  <si>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</si>
  <si>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</si>
  <si>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</si>
  <si>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</si>
  <si>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</si>
  <si>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</si>
  <si>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</si>
  <si>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</si>
  <si>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</si>
  <si>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</si>
  <si>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</si>
  <si>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</si>
  <si>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</si>
  <si>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</si>
  <si>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</si>
  <si>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</si>
  <si>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</si>
  <si>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</si>
  <si>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</si>
  <si>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</si>
  <si>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</si>
  <si>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</si>
  <si>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</si>
  <si>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</si>
  <si>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</si>
  <si>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</si>
  <si>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</si>
  <si>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</si>
  <si>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</si>
  <si>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</si>
  <si>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</si>
  <si>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</si>
  <si>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</si>
  <si>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</si>
  <si>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</si>
  <si>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</si>
  <si>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</si>
  <si>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</si>
  <si>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</si>
  <si>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</si>
  <si>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</si>
  <si>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</si>
  <si>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</si>
  <si>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</si>
  <si>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</si>
  <si>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</si>
  <si>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</si>
  <si>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</si>
  <si>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</si>
  <si>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</si>
  <si>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</si>
  <si>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</si>
  <si>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</si>
  <si>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</si>
  <si>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</si>
  <si>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</si>
  <si>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</si>
  <si>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</si>
  <si>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</si>
  <si>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</si>
  <si>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</si>
  <si>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</si>
  <si>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</si>
  <si>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</si>
  <si>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</si>
  <si>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</si>
  <si>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</si>
  <si>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</si>
  <si>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</si>
  <si>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</si>
  <si>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</si>
  <si>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</si>
  <si>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</si>
  <si>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</si>
  <si>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</si>
  <si>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</si>
  <si>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</si>
  <si>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</si>
  <si>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</si>
  <si>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</si>
  <si>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</si>
  <si>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</si>
  <si>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</si>
  <si>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</si>
  <si>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</si>
  <si>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</si>
  <si>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</si>
  <si>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</si>
  <si>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</si>
  <si>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</si>
  <si>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</si>
  <si>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</si>
  <si>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</si>
  <si>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</si>
  <si>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</si>
  <si>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</si>
  <si>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</si>
  <si>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</si>
  <si>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</si>
  <si>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</si>
  <si>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</si>
  <si>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</si>
  <si>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</si>
  <si>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</si>
  <si>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</si>
  <si>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</si>
  <si>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</si>
  <si>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</si>
  <si>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</si>
  <si>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</si>
  <si>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</si>
  <si>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</si>
  <si>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</si>
  <si>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</si>
  <si>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</si>
  <si>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</si>
  <si>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</si>
  <si>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</si>
  <si>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</si>
  <si>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</si>
  <si>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</si>
  <si>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</si>
  <si>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</si>
  <si>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</si>
  <si>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</si>
  <si>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</si>
  <si>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</si>
  <si>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</si>
  <si>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</si>
  <si>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</si>
  <si>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</si>
  <si>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</si>
  <si>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</si>
  <si>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</si>
  <si>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</si>
  <si>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</si>
  <si>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</si>
  <si>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</si>
  <si>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</si>
  <si>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</si>
  <si>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</si>
  <si>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</si>
  <si>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</si>
  <si>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</si>
  <si>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</si>
  <si>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</si>
  <si>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</si>
  <si>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</si>
  <si>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</si>
  <si>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</si>
  <si>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</si>
  <si>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</si>
  <si>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</si>
  <si>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</si>
  <si>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</si>
  <si>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</si>
  <si>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</si>
  <si>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</si>
  <si>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</si>
  <si>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</si>
  <si>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</si>
  <si>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</si>
  <si>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</si>
  <si>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</si>
  <si>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</si>
  <si>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</si>
  <si>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</si>
  <si>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</si>
  <si>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</si>
  <si>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</si>
  <si>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</si>
  <si>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</si>
  <si>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</si>
  <si>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</si>
  <si>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</si>
  <si>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</si>
  <si>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</si>
  <si>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</si>
  <si>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</si>
  <si>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</si>
  <si>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</si>
  <si>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</si>
  <si>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</si>
  <si>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</si>
  <si>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</si>
  <si>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</si>
  <si>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</si>
  <si>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</si>
  <si>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</si>
  <si>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</si>
  <si>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</si>
  <si>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</si>
  <si>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</si>
  <si>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</si>
  <si>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</si>
  <si>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</si>
  <si>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</si>
  <si>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</si>
  <si>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</si>
  <si>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</si>
  <si>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</si>
  <si>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</si>
  <si>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</si>
  <si>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</si>
  <si>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</si>
  <si>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</si>
  <si>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</si>
  <si>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</si>
  <si>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</si>
  <si>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</si>
  <si>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</si>
  <si>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</si>
  <si>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</si>
  <si>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</si>
  <si>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</si>
  <si>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</si>
  <si>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</si>
  <si>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</si>
  <si>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</si>
  <si>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</si>
  <si>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</si>
  <si>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</si>
  <si>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</si>
  <si>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</si>
  <si>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</si>
  <si>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</si>
  <si>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</si>
  <si>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</si>
  <si>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</si>
  <si>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</si>
  <si>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</si>
  <si>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</si>
  <si>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</si>
  <si>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</si>
  <si>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</si>
  <si>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</si>
  <si>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</si>
  <si>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</si>
  <si>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</si>
  <si>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</si>
  <si>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</si>
  <si>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</si>
  <si>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</si>
  <si>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</si>
  <si>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</si>
  <si>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</si>
  <si>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</si>
  <si>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</si>
  <si>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</si>
  <si>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</si>
  <si>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</si>
  <si>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</si>
  <si>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</si>
  <si>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</si>
  <si>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</si>
  <si>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</si>
  <si>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</si>
  <si>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</si>
  <si>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</si>
  <si>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</si>
  <si>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</si>
  <si>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</si>
  <si>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</si>
  <si>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</si>
  <si>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</si>
  <si>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</si>
  <si>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</si>
  <si>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</si>
  <si>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</si>
  <si>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</si>
  <si>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</si>
  <si>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</si>
  <si>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</si>
  <si>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</si>
  <si>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</si>
  <si>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</si>
  <si>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</si>
  <si>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</si>
  <si>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</si>
  <si>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</si>
  <si>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</si>
  <si>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</si>
  <si>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</si>
  <si>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</si>
  <si>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</si>
  <si>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</si>
  <si>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</si>
  <si>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</si>
  <si>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</si>
  <si>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</si>
  <si>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</si>
  <si>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</si>
  <si>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</si>
  <si>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</si>
  <si>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</si>
  <si>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</si>
  <si>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</si>
  <si>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</si>
  <si>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</si>
  <si>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</si>
  <si>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</si>
  <si>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</si>
  <si>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</si>
  <si>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</si>
  <si>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</si>
  <si>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</si>
  <si>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</si>
  <si>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</si>
  <si>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</si>
  <si>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</si>
  <si>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</si>
  <si>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</si>
  <si>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</si>
  <si>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</si>
  <si>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</si>
  <si>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</si>
  <si>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</si>
  <si>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</si>
  <si>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</si>
  <si>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</si>
  <si>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</si>
  <si>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</si>
  <si>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</si>
  <si>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</si>
  <si>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</si>
  <si>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</si>
  <si>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</si>
  <si>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</si>
  <si>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</si>
  <si>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</si>
  <si>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</si>
  <si>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</si>
  <si>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</si>
  <si>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</si>
  <si>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</si>
  <si>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</si>
  <si>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</si>
  <si>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</si>
  <si>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</si>
  <si>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</si>
  <si>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</si>
  <si>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</si>
  <si>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</si>
  <si>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</si>
  <si>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</si>
  <si>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</si>
  <si>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</si>
  <si>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</si>
  <si>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</si>
  <si>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</si>
  <si>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</si>
  <si>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</si>
  <si>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</si>
  <si>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</si>
  <si>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</si>
  <si>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</si>
  <si>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</si>
  <si>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</si>
  <si>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</si>
  <si>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</si>
  <si>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</si>
  <si>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</si>
  <si>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</si>
  <si>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</si>
  <si>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</si>
  <si>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</si>
  <si>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</si>
  <si>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</si>
  <si>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</si>
  <si>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</si>
  <si>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</si>
  <si>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</si>
  <si>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</si>
  <si>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</si>
  <si>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</si>
  <si>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</si>
  <si>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</si>
  <si>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</si>
  <si>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</si>
  <si>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</si>
  <si>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</si>
  <si>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</si>
  <si>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</si>
  <si>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</si>
  <si>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</si>
  <si>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</si>
  <si>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</si>
  <si>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</si>
  <si>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</si>
  <si>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</si>
  <si>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</si>
  <si>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</si>
  <si>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</si>
  <si>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</si>
  <si>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</si>
  <si>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</si>
  <si>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</si>
  <si>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</si>
  <si>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</si>
  <si>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</si>
  <si>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</si>
  <si>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</si>
  <si>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</si>
  <si>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</si>
  <si>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</si>
  <si>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</si>
  <si>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</si>
  <si>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</si>
  <si>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</si>
  <si>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</si>
  <si>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</si>
  <si>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</si>
  <si>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</si>
  <si>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</si>
  <si>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</si>
  <si>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</si>
  <si>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</si>
  <si>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</si>
  <si>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</si>
  <si>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</si>
  <si>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</si>
  <si>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</si>
  <si>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</si>
  <si>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</si>
  <si>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</si>
  <si>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</si>
  <si>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</si>
  <si>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</si>
  <si>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</si>
  <si>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</si>
  <si>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</si>
  <si>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</si>
  <si>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</si>
  <si>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</si>
  <si>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</si>
  <si>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</si>
  <si>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</si>
  <si>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</si>
  <si>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</si>
  <si>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</si>
  <si>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</si>
  <si>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</si>
  <si>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</si>
  <si>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</si>
  <si>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</si>
  <si>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</si>
  <si>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</si>
  <si>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</si>
  <si>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</si>
  <si>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</si>
  <si>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</si>
  <si>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</si>
  <si>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</si>
  <si>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</si>
  <si>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</si>
  <si>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</si>
  <si>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</si>
  <si>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</si>
  <si>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</si>
  <si>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</si>
  <si>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</si>
  <si>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</si>
  <si>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</si>
  <si>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</si>
  <si>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</si>
  <si>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</si>
  <si>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</si>
  <si>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</si>
  <si>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</si>
  <si>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</si>
  <si>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</si>
  <si>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</si>
  <si>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</si>
  <si>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</si>
  <si>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</si>
  <si>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</si>
  <si>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</si>
  <si>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</si>
  <si>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</si>
  <si>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</si>
  <si>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</si>
  <si>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</si>
  <si>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</si>
  <si>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</si>
  <si>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</si>
  <si>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</si>
  <si>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</si>
  <si>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</si>
  <si>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</si>
  <si>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</si>
  <si>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</si>
  <si>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</si>
  <si>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</si>
  <si>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</si>
  <si>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</si>
  <si>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</si>
  <si>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</si>
  <si>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</si>
  <si>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</si>
  <si>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</si>
  <si>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</si>
  <si>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</si>
  <si>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</si>
  <si>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</si>
  <si>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</si>
  <si>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</si>
  <si>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</si>
  <si>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</si>
  <si>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</si>
  <si>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</si>
  <si>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</si>
  <si>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</si>
  <si>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</si>
  <si>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</si>
  <si>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</si>
  <si>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</si>
  <si>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</si>
  <si>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</si>
  <si>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</si>
  <si>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</si>
  <si>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</si>
  <si>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</si>
  <si>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</si>
  <si>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</si>
  <si>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</si>
  <si>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</si>
  <si>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</si>
  <si>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</si>
  <si>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</si>
  <si>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</si>
  <si>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</si>
  <si>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</si>
  <si>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</si>
  <si>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</si>
  <si>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</si>
  <si>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</si>
  <si>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</si>
  <si>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</si>
  <si>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</si>
  <si>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</si>
  <si>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</si>
  <si>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</si>
  <si>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</si>
  <si>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</si>
  <si>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</si>
  <si>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</si>
  <si>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</si>
  <si>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</si>
  <si>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</si>
  <si>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</si>
  <si>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</si>
  <si>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</si>
  <si>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</si>
  <si>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</si>
  <si>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</si>
  <si>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</si>
  <si>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</si>
  <si>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</si>
  <si>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</si>
  <si>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</si>
  <si>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</si>
  <si>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</si>
  <si>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</si>
  <si>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</si>
  <si>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</si>
  <si>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</si>
  <si>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</si>
  <si>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</si>
  <si>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</si>
  <si>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</si>
  <si>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</si>
  <si>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</si>
  <si>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</si>
  <si>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</si>
  <si>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</si>
  <si>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</si>
  <si>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</si>
  <si>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</si>
  <si>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</si>
  <si>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</si>
  <si>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</si>
  <si>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</si>
  <si>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</si>
  <si>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</si>
  <si>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</si>
  <si>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</si>
  <si>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</si>
  <si>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</si>
  <si>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</si>
  <si>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</si>
  <si>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</si>
  <si>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</si>
  <si>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</si>
  <si>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</si>
  <si>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</si>
  <si>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</si>
  <si>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</si>
  <si>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</si>
  <si>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</si>
  <si>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</si>
  <si>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</si>
  <si>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</si>
  <si>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</si>
  <si>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</si>
  <si>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</si>
  <si>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</si>
  <si>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</si>
  <si>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</si>
  <si>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</si>
  <si>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</si>
  <si>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</si>
  <si>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</si>
  <si>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</si>
  <si>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</si>
  <si>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</si>
  <si>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</si>
  <si>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</si>
  <si>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</si>
  <si>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</si>
  <si>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</si>
  <si>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</si>
  <si>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</si>
  <si>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</si>
  <si>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</si>
  <si>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</si>
  <si>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</si>
  <si>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</si>
  <si>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</si>
  <si>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</si>
  <si>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</si>
  <si>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</si>
  <si>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</si>
  <si>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</si>
  <si>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</si>
  <si>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</si>
  <si>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</si>
  <si>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</si>
  <si>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</si>
  <si>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</si>
  <si>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</si>
  <si>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</si>
  <si>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</si>
  <si>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</si>
  <si>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</si>
  <si>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</si>
  <si>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</si>
  <si>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</si>
  <si>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</si>
  <si>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</si>
  <si>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</si>
  <si>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</si>
  <si>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</si>
  <si>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</si>
  <si>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</si>
  <si>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</si>
  <si>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</si>
  <si>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</si>
  <si>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</si>
  <si>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</si>
  <si>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</si>
  <si>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</si>
  <si>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</si>
  <si>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</si>
  <si>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</si>
  <si>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</si>
  <si>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</si>
  <si>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</si>
  <si>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</si>
  <si>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</si>
  <si>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</si>
  <si>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</si>
  <si>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</si>
  <si>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</si>
  <si>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</si>
  <si>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</si>
  <si>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</si>
  <si>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</si>
  <si>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</si>
  <si>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</si>
  <si>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</si>
  <si>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</si>
  <si>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</si>
  <si>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</si>
  <si>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</si>
  <si>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</si>
  <si>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</si>
  <si>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</si>
  <si>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</si>
  <si>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</si>
  <si>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</si>
  <si>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</si>
  <si>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</si>
  <si>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</si>
  <si>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</si>
  <si>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</si>
  <si>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</si>
  <si>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</si>
  <si>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</si>
  <si>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</si>
  <si>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</si>
  <si>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</si>
  <si>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</si>
  <si>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</si>
  <si>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</si>
  <si>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</si>
  <si>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</si>
  <si>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</si>
  <si>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</si>
  <si>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</si>
  <si>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</si>
  <si>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</si>
  <si>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</si>
  <si>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</si>
  <si>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</si>
  <si>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</si>
  <si>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</si>
  <si>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</si>
  <si>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</si>
  <si>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</si>
  <si>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</si>
  <si>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</si>
  <si>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</si>
  <si>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</si>
  <si>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</si>
  <si>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</si>
  <si>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</si>
  <si>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</si>
  <si>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</si>
  <si>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</si>
  <si>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</si>
  <si>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</si>
  <si>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</si>
  <si>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</si>
  <si>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</si>
  <si>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</si>
  <si>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</si>
  <si>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</si>
  <si>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</si>
  <si>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</si>
  <si>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</si>
  <si>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</si>
  <si>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</si>
  <si>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</si>
  <si>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</si>
  <si>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</si>
  <si>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</si>
  <si>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</si>
  <si>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</si>
  <si>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</si>
  <si>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</si>
  <si>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</si>
  <si>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</si>
  <si>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</si>
  <si>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</si>
  <si>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</si>
  <si>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</si>
  <si>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</si>
  <si>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</si>
  <si>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</si>
  <si>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</si>
  <si>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</si>
  <si>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</si>
  <si>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</si>
  <si>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</si>
  <si>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</si>
  <si>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</si>
  <si>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</si>
  <si>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</si>
  <si>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</si>
  <si>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</si>
  <si>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</si>
  <si>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</si>
  <si>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</si>
  <si>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</si>
  <si>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</si>
  <si>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</si>
  <si>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</si>
  <si>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</si>
  <si>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</si>
  <si>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</si>
  <si>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</si>
  <si>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</si>
  <si>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</si>
  <si>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</si>
  <si>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</si>
  <si>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</si>
  <si>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</si>
  <si>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</si>
  <si>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</si>
  <si>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</si>
  <si>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</si>
  <si>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</si>
  <si>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</si>
  <si>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</si>
  <si>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</si>
  <si>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</si>
  <si>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</si>
  <si>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</si>
  <si>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</si>
  <si>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</si>
  <si>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</si>
  <si>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</si>
  <si>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</si>
  <si>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</si>
  <si>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</si>
  <si>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</si>
  <si>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</si>
  <si>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</si>
  <si>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</si>
  <si>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</si>
  <si>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</si>
  <si>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</si>
  <si>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</si>
  <si>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</si>
  <si>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</si>
  <si>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</si>
  <si>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</si>
  <si>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</si>
  <si>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</si>
  <si>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</si>
  <si>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</si>
  <si>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</si>
  <si>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</si>
  <si>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</si>
  <si>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</si>
  <si>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</si>
  <si>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</si>
  <si>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</si>
  <si>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</si>
  <si>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</si>
  <si>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</si>
  <si>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</si>
  <si>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</si>
  <si>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</si>
  <si>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</si>
  <si>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</si>
  <si>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</si>
  <si>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</si>
  <si>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</si>
  <si>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</si>
  <si>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</si>
  <si>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</si>
  <si>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</si>
  <si>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</si>
  <si>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</si>
  <si>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</si>
  <si>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</si>
  <si>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</si>
  <si>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</si>
  <si>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</si>
  <si>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</si>
  <si>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</si>
  <si>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</si>
  <si>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</si>
  <si>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</si>
  <si>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</si>
  <si>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</si>
  <si>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</si>
  <si>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</si>
  <si>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</si>
  <si>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</si>
  <si>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</si>
  <si>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</si>
  <si>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</si>
  <si>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</si>
  <si>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</si>
  <si>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</si>
  <si>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</si>
  <si>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</si>
  <si>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</si>
  <si>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</si>
  <si>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</si>
  <si>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</si>
  <si>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</si>
  <si>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</si>
  <si>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</si>
  <si>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</si>
  <si>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</si>
  <si>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</si>
  <si>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</si>
  <si>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</si>
  <si>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</si>
  <si>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</si>
  <si>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</si>
  <si>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</si>
  <si>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</si>
  <si>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</si>
  <si>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</si>
  <si>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</si>
  <si>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</si>
  <si>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</si>
  <si>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</si>
  <si>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</si>
  <si>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</si>
  <si>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</si>
  <si>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</si>
  <si>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</si>
  <si>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</si>
  <si>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</si>
  <si>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</si>
  <si>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</si>
  <si>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</si>
  <si>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</si>
  <si>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</si>
  <si>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</si>
  <si>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</si>
  <si>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</si>
  <si>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</si>
  <si>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</si>
  <si>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</si>
  <si>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</si>
  <si>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</si>
  <si>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</si>
  <si>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</si>
  <si>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</si>
  <si>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</si>
  <si>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</si>
  <si>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</si>
  <si>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</si>
  <si>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</si>
  <si>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</si>
  <si>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</si>
  <si>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</si>
  <si>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</si>
  <si>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</si>
  <si>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</si>
  <si>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</si>
  <si>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</si>
  <si>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</si>
  <si>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</si>
  <si>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</si>
  <si>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</si>
  <si>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</si>
  <si>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</si>
  <si>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</si>
  <si>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</si>
  <si>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</si>
  <si>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</si>
  <si>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</si>
  <si>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</si>
  <si>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</si>
  <si>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</si>
  <si>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</si>
  <si>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</si>
  <si>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</si>
  <si>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</si>
  <si>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</si>
  <si>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</si>
  <si>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</si>
  <si>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</si>
  <si>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</si>
  <si>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</si>
  <si>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</si>
  <si>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</si>
  <si>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</si>
  <si>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</si>
  <si>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</si>
  <si>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</si>
  <si>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</si>
  <si>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</si>
  <si>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</si>
  <si>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</si>
  <si>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</si>
  <si>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</si>
  <si>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</si>
  <si>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</si>
  <si>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</si>
  <si>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</si>
  <si>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</si>
  <si>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</si>
  <si>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</si>
  <si>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</si>
  <si>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</si>
  <si>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</si>
  <si>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</si>
  <si>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</si>
  <si>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</si>
  <si>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</si>
  <si>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</si>
  <si>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</si>
  <si>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</si>
  <si>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</si>
  <si>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</si>
  <si>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</si>
  <si>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</si>
  <si>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</si>
  <si>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</si>
  <si>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</si>
  <si>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</si>
  <si>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</si>
  <si>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</si>
  <si>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</si>
  <si>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</si>
  <si>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</si>
  <si>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</si>
  <si>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</si>
  <si>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</si>
  <si>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</si>
  <si>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</si>
  <si>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</si>
  <si>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</si>
  <si>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</si>
  <si>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</si>
  <si>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</si>
  <si>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</si>
  <si>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</si>
  <si>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</si>
  <si>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</si>
  <si>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</si>
  <si>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</si>
  <si>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</si>
  <si>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</si>
  <si>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</si>
  <si>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</si>
  <si>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</si>
  <si>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</si>
  <si>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</si>
  <si>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</si>
  <si>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</si>
  <si>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</si>
  <si>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</si>
  <si>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</si>
  <si>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</si>
  <si>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</si>
  <si>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</si>
  <si>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</si>
  <si>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</si>
  <si>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</si>
  <si>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</si>
  <si>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</si>
  <si>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</si>
  <si>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</si>
  <si>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</si>
  <si>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</si>
  <si>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</si>
  <si>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</si>
  <si>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</si>
  <si>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</si>
  <si>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</si>
  <si>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</si>
  <si>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</si>
  <si>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</si>
  <si>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</si>
  <si>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</si>
  <si>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</si>
  <si>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</si>
  <si>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</si>
  <si>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</si>
  <si>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</si>
  <si>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</si>
  <si>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</si>
  <si>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</si>
  <si>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</si>
  <si>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</si>
  <si>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</si>
  <si>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</si>
  <si>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</si>
  <si>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</si>
  <si>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</si>
  <si>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</si>
  <si>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</si>
  <si>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</si>
  <si>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</si>
  <si>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</si>
  <si>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</si>
  <si>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</si>
  <si>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</si>
  <si>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</si>
  <si>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</si>
  <si>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</si>
  <si>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</si>
  <si>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</si>
  <si>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</si>
  <si>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</si>
  <si>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</si>
  <si>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</si>
  <si>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</si>
  <si>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</si>
  <si>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</si>
  <si>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</si>
  <si>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</si>
  <si>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</si>
  <si>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</si>
  <si>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</si>
  <si>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</si>
  <si>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</si>
  <si>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</si>
  <si>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</si>
  <si>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</si>
  <si>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</si>
  <si>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</si>
  <si>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</si>
  <si>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</si>
  <si>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</si>
  <si>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</si>
  <si>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</si>
  <si>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</si>
  <si>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</si>
  <si>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</si>
  <si>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</si>
  <si>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</si>
  <si>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</si>
  <si>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</si>
  <si>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</si>
  <si>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</si>
  <si>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</si>
  <si>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</si>
  <si>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</si>
  <si>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</si>
  <si>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</si>
  <si>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</si>
  <si>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</si>
  <si>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</si>
  <si>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</si>
  <si>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</si>
  <si>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</si>
  <si>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</si>
  <si>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</si>
  <si>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</si>
  <si>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</si>
  <si>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</si>
  <si>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</si>
  <si>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</si>
  <si>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</si>
  <si>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</si>
  <si>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</si>
  <si>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</si>
  <si>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</si>
  <si>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</si>
  <si>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</si>
  <si>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</si>
  <si>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</si>
  <si>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</si>
  <si>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</si>
  <si>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</si>
  <si>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</si>
  <si>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</si>
  <si>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</si>
  <si>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</si>
  <si>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</si>
  <si>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</si>
  <si>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</si>
  <si>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</si>
  <si>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</si>
  <si>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</si>
  <si>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</si>
  <si>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</si>
  <si>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</si>
  <si>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</si>
  <si>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</si>
  <si>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</si>
  <si>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</si>
  <si>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</si>
  <si>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</si>
  <si>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</si>
  <si>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</si>
  <si>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</si>
  <si>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</si>
  <si>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</si>
  <si>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</si>
  <si>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</si>
  <si>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</si>
  <si>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</si>
  <si>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</si>
  <si>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</si>
  <si>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</si>
  <si>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</si>
  <si>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</si>
  <si>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</si>
  <si>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</si>
  <si>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</si>
  <si>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</si>
  <si>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</si>
  <si>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</si>
  <si>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</si>
  <si>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</si>
  <si>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</si>
  <si>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</si>
  <si>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</si>
  <si>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</si>
  <si>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</si>
  <si>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</si>
  <si>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</si>
  <si>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</si>
  <si>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</si>
  <si>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</si>
  <si>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</si>
  <si>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</si>
  <si>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</si>
  <si>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</si>
  <si>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</si>
  <si>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</si>
  <si>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</si>
  <si>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</si>
  <si>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</si>
  <si>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</si>
  <si>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</si>
  <si>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</si>
  <si>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</si>
  <si>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</si>
  <si>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</si>
  <si>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</si>
  <si>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</si>
  <si>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</si>
  <si>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</si>
  <si>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</si>
  <si>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</si>
  <si>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</si>
  <si>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</si>
  <si>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</si>
  <si>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</si>
  <si>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</si>
  <si>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</si>
  <si>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</si>
  <si>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</si>
  <si>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</si>
  <si>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</si>
  <si>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</si>
  <si>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</si>
  <si>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</si>
  <si>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</si>
  <si>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</si>
  <si>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</si>
  <si>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</si>
  <si>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</si>
  <si>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</si>
  <si>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</si>
  <si>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</si>
  <si>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</si>
  <si>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</si>
  <si>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</si>
  <si>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</si>
  <si>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</si>
  <si>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</si>
  <si>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</si>
  <si>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</si>
  <si>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</si>
  <si>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</si>
  <si>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</si>
  <si>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</si>
  <si>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</si>
  <si>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</si>
  <si>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</si>
  <si>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</si>
  <si>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</si>
  <si>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</si>
  <si>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</si>
  <si>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</si>
  <si>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</si>
  <si>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</si>
  <si>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</si>
  <si>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</si>
  <si>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</si>
  <si>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</si>
  <si>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</si>
  <si>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</si>
  <si>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</si>
  <si>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</si>
  <si>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</si>
  <si>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</si>
  <si>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</si>
  <si>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</si>
  <si>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</si>
  <si>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</si>
  <si>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</si>
  <si>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</si>
  <si>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</si>
  <si>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</si>
  <si>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</si>
  <si>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</si>
  <si>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</si>
  <si>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</si>
  <si>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</si>
  <si>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</si>
  <si>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</si>
  <si>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</si>
  <si>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</si>
  <si>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</si>
  <si>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</si>
  <si>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</si>
  <si>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</si>
  <si>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</si>
  <si>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</si>
  <si>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</si>
  <si>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</si>
  <si>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</si>
  <si>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</si>
  <si>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</si>
  <si>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</si>
  <si>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</si>
  <si>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</si>
  <si>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</si>
  <si>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</si>
  <si>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</si>
  <si>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</si>
  <si>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</si>
  <si>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</si>
  <si>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</si>
  <si>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</si>
  <si>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</si>
  <si>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</si>
  <si>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</si>
  <si>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</si>
  <si>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</si>
  <si>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</si>
  <si>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</si>
  <si>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</si>
  <si>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</si>
  <si>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</si>
  <si>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</si>
  <si>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</si>
  <si>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</si>
  <si>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</si>
  <si>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</si>
  <si>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</si>
  <si>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</si>
  <si>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</si>
  <si>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</si>
  <si>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</si>
  <si>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</si>
  <si>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</si>
  <si>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</si>
  <si>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</si>
  <si>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</si>
  <si>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</si>
  <si>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</si>
  <si>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</si>
  <si>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</si>
  <si>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</si>
  <si>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</si>
  <si>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</si>
  <si>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</si>
  <si>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</si>
  <si>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</si>
  <si>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</si>
  <si>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</si>
  <si>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</si>
  <si>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</si>
  <si>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</si>
  <si>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</si>
  <si>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</si>
  <si>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</si>
  <si>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</si>
  <si>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</si>
  <si>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</si>
  <si>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</si>
  <si>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</si>
  <si>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</si>
  <si>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</si>
  <si>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</si>
  <si>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</si>
  <si>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</si>
  <si>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</si>
  <si>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</si>
  <si>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</si>
  <si>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</si>
  <si>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</si>
  <si>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</si>
  <si>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</si>
  <si>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</si>
  <si>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</si>
  <si>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</si>
  <si>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</si>
  <si>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</si>
  <si>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</si>
  <si>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</si>
  <si>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</si>
  <si>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</si>
  <si>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</si>
  <si>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</si>
  <si>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</si>
  <si>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</si>
  <si>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</si>
  <si>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</si>
  <si>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</si>
  <si>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</si>
  <si>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</si>
  <si>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</si>
  <si>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</si>
  <si>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</si>
  <si>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</si>
  <si>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</si>
  <si>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</si>
  <si>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</si>
  <si>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</si>
  <si>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</si>
  <si>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</si>
  <si>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</si>
  <si>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</si>
  <si>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</si>
  <si>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</si>
  <si>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</si>
  <si>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</si>
  <si>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</si>
  <si>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</si>
  <si>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</si>
  <si>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</si>
  <si>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</si>
  <si>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</si>
  <si>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</si>
  <si>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</si>
  <si>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</si>
  <si>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</si>
  <si>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</si>
  <si>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</si>
  <si>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</si>
  <si>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</si>
  <si>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</si>
  <si>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</si>
  <si>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</si>
  <si>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</si>
  <si>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</si>
  <si>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</si>
  <si>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</si>
  <si>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</si>
  <si>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</si>
  <si>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</si>
  <si>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</si>
  <si>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</si>
  <si>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</si>
  <si>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</si>
  <si>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</si>
  <si>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</si>
  <si>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</si>
  <si>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</si>
  <si>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</si>
  <si>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</si>
  <si>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</si>
  <si>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</si>
  <si>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</si>
  <si>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</si>
  <si>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</si>
  <si>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</si>
  <si>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</si>
  <si>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</si>
  <si>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</si>
  <si>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</si>
  <si>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</si>
  <si>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</si>
  <si>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</si>
  <si>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</si>
  <si>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</si>
  <si>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</si>
  <si>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</si>
  <si>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</si>
  <si>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</si>
  <si>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</si>
  <si>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</si>
  <si>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</si>
  <si>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</si>
  <si>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</si>
  <si>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</si>
  <si>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</si>
  <si>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</si>
  <si>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</si>
  <si>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</si>
  <si>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</si>
  <si>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</si>
  <si>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</si>
  <si>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</si>
  <si>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</si>
  <si>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</si>
  <si>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</si>
  <si>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</si>
  <si>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</si>
  <si>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</si>
  <si>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</si>
  <si>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</si>
  <si>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</si>
  <si>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</si>
  <si>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</si>
  <si>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</si>
  <si>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</si>
  <si>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</si>
  <si>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</si>
  <si>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</si>
  <si>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</si>
  <si>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</si>
  <si>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</si>
  <si>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</si>
  <si>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</si>
  <si>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</si>
  <si>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</si>
  <si>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</si>
  <si>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</si>
  <si>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</si>
  <si>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</si>
  <si>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</si>
  <si>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</si>
  <si>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</si>
  <si>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</si>
  <si>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</si>
  <si>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</si>
  <si>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</si>
  <si>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</si>
  <si>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</si>
  <si>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</si>
  <si>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</si>
  <si>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</si>
  <si>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</si>
  <si>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</si>
  <si>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</si>
  <si>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</si>
  <si>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</si>
  <si>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</si>
  <si>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</si>
  <si>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</si>
  <si>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</si>
  <si>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</si>
  <si>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</si>
  <si>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</si>
  <si>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</si>
  <si>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</si>
  <si>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</si>
  <si>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</si>
  <si>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</si>
  <si>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</si>
  <si>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</si>
  <si>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</si>
  <si>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</si>
  <si>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</si>
  <si>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</si>
  <si>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</si>
  <si>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</si>
  <si>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</si>
  <si>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</si>
  <si>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</si>
  <si>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</si>
  <si>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</si>
  <si>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</si>
  <si>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</si>
  <si>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</si>
  <si>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</si>
  <si>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</si>
  <si>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</si>
  <si>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</si>
  <si>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</si>
  <si>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</si>
  <si>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</si>
  <si>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</si>
  <si>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</si>
  <si>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</si>
  <si>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</si>
  <si>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</si>
  <si>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</si>
  <si>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</si>
  <si>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</si>
  <si>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</si>
  <si>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</si>
  <si>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</si>
  <si>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</si>
  <si>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</si>
  <si>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</si>
  <si>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</si>
  <si>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</si>
  <si>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</si>
  <si>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</si>
  <si>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</si>
  <si>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</si>
  <si>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</si>
  <si>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</si>
  <si>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</si>
  <si>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</si>
  <si>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</si>
  <si>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</si>
  <si>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</si>
  <si>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</si>
  <si>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</si>
  <si>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</si>
  <si>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</si>
  <si>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</si>
  <si>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</si>
  <si>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</si>
  <si>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</si>
  <si>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</si>
  <si>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</si>
  <si>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</si>
  <si>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</si>
  <si>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</si>
  <si>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</si>
  <si>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</si>
  <si>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</si>
  <si>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</si>
  <si>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</si>
  <si>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</si>
  <si>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</si>
  <si>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</si>
  <si>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</si>
  <si>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</si>
  <si>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</si>
  <si>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</si>
  <si>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</si>
  <si>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</si>
  <si>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</si>
  <si>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</si>
  <si>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</si>
  <si>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</si>
  <si>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</si>
  <si>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</si>
  <si>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</si>
  <si>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</si>
  <si>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</si>
  <si>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</si>
  <si>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</si>
  <si>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</si>
  <si>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</si>
  <si>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</si>
  <si>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</si>
  <si>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</si>
  <si>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</si>
  <si>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</si>
  <si>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</si>
  <si>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</si>
  <si>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</si>
  <si>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</si>
  <si>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</si>
  <si>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</si>
  <si>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</si>
  <si>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</si>
  <si>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</si>
  <si>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</si>
  <si>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</si>
  <si>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</si>
  <si>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</si>
  <si>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</si>
  <si>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</si>
  <si>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</si>
  <si>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</si>
  <si>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</si>
  <si>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</si>
  <si>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</si>
  <si>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</si>
  <si>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</si>
  <si>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</si>
  <si>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</si>
  <si>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</si>
  <si>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</si>
  <si>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</si>
  <si>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</si>
  <si>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</si>
  <si>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</si>
  <si>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</si>
  <si>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</si>
  <si>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</si>
  <si>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</si>
  <si>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</si>
  <si>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</si>
  <si>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</si>
  <si>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</si>
  <si>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</si>
  <si>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</si>
  <si>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</si>
  <si>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</si>
  <si>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</si>
  <si>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</si>
  <si>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</si>
  <si>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</si>
  <si>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</si>
  <si>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</si>
  <si>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</si>
  <si>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</si>
  <si>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</si>
  <si>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</si>
  <si>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</si>
  <si>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</si>
  <si>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</si>
  <si>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</si>
  <si>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</si>
  <si>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</si>
  <si>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</si>
  <si>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</si>
  <si>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</si>
  <si>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</si>
  <si>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</si>
  <si>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</si>
  <si>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</si>
  <si>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</si>
  <si>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</si>
  <si>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</si>
  <si>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</si>
  <si>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</si>
  <si>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</si>
  <si>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</si>
  <si>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</si>
  <si>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</si>
  <si>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</si>
  <si>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</si>
  <si>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</si>
  <si>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</si>
  <si>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</si>
  <si>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</si>
  <si>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</si>
  <si>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</si>
  <si>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</si>
  <si>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</si>
  <si>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</si>
  <si>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</si>
  <si>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</si>
  <si>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</si>
  <si>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</si>
  <si>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</si>
  <si>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</si>
  <si>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</si>
  <si>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</si>
  <si>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</si>
  <si>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</si>
  <si>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</si>
  <si>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</si>
  <si>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</si>
  <si>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</si>
  <si>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</si>
  <si>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</si>
  <si>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</si>
  <si>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</si>
  <si>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</si>
  <si>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</si>
  <si>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</si>
  <si>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</si>
  <si>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</si>
  <si>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</si>
  <si>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</si>
  <si>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</si>
  <si>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</si>
  <si>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</si>
  <si>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</si>
  <si>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</si>
  <si>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</si>
  <si>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</si>
  <si>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</si>
  <si>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</si>
  <si>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</si>
  <si>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</si>
  <si>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</si>
  <si>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</si>
  <si>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</si>
  <si>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</si>
  <si>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</si>
  <si>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</si>
  <si>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</si>
  <si>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</si>
  <si>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</si>
  <si>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</si>
  <si>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</si>
  <si>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</si>
  <si>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</si>
  <si>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</si>
  <si>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</si>
  <si>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</si>
  <si>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</si>
  <si>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</si>
  <si>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</si>
  <si>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</si>
  <si>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</si>
  <si>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</si>
  <si>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</si>
  <si>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</si>
  <si>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</si>
  <si>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</si>
  <si>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</si>
  <si>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</si>
  <si>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</si>
  <si>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</si>
  <si>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</si>
  <si>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</si>
  <si>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</si>
  <si>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</si>
  <si>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</si>
  <si>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</si>
  <si>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</si>
  <si>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</si>
  <si>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</si>
  <si>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</si>
  <si>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</si>
  <si>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</si>
  <si>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</si>
  <si>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</si>
  <si>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</si>
  <si>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</si>
  <si>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</si>
  <si>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</si>
  <si>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</si>
  <si>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</si>
  <si>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</si>
  <si>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</si>
  <si>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</si>
  <si>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</si>
  <si>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</si>
  <si>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</si>
  <si>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</si>
  <si>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</si>
  <si>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</si>
  <si>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</si>
  <si>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</si>
  <si>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</si>
  <si>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</si>
  <si>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</si>
  <si>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</si>
  <si>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</si>
  <si>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</si>
  <si>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</si>
  <si>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</si>
  <si>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</si>
  <si>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</si>
  <si>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</si>
  <si>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</si>
  <si>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</si>
  <si>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</si>
  <si>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</si>
  <si>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</si>
  <si>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</si>
  <si>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</si>
  <si>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</si>
  <si>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</si>
  <si>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</si>
  <si>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</si>
  <si>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</si>
  <si>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</si>
  <si>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</si>
  <si>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</si>
  <si>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</si>
  <si>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</si>
  <si>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</si>
  <si>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</si>
  <si>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</si>
  <si>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</si>
  <si>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</si>
  <si>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</si>
  <si>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</si>
  <si>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</si>
  <si>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</si>
  <si>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</si>
  <si>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</si>
  <si>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</si>
  <si>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</si>
  <si>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</si>
  <si>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</si>
  <si>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</si>
  <si>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</si>
  <si>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</si>
  <si>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</si>
  <si>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</si>
  <si>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</si>
  <si>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</si>
  <si>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</si>
  <si>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</si>
  <si>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</si>
  <si>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</si>
  <si>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</si>
  <si>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</si>
  <si>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</si>
  <si>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</si>
  <si>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</si>
  <si>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</si>
  <si>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</si>
  <si>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</si>
  <si>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</si>
  <si>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</si>
  <si>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</si>
  <si>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</si>
  <si>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</si>
  <si>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</si>
  <si>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</si>
  <si>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</si>
  <si>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</si>
  <si>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</si>
  <si>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</si>
  <si>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</si>
  <si>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</si>
  <si>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</si>
  <si>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</si>
  <si>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</si>
  <si>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</si>
  <si>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</si>
  <si>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</si>
  <si>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</si>
  <si>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</si>
  <si>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</si>
  <si>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</si>
  <si>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</si>
  <si>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</si>
  <si>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</si>
  <si>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</si>
  <si>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</si>
  <si>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</si>
  <si>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</si>
  <si>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</si>
  <si>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</si>
  <si>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</si>
  <si>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</si>
  <si>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</si>
  <si>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</si>
  <si>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</si>
  <si>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</si>
  <si>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</si>
  <si>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</si>
  <si>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</si>
  <si>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</si>
  <si>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</si>
  <si>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</si>
  <si>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</si>
  <si>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</si>
  <si>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</si>
  <si>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</si>
  <si>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</si>
  <si>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</si>
  <si>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</si>
  <si>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</si>
  <si>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</si>
  <si>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</si>
  <si>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</si>
  <si>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</si>
  <si>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</si>
  <si>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</si>
  <si>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</si>
  <si>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</si>
  <si>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</si>
  <si>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</si>
  <si>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</si>
  <si>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</si>
  <si>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</si>
  <si>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</si>
  <si>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</si>
  <si>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</si>
  <si>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</si>
  <si>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</si>
  <si>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</si>
  <si>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</si>
  <si>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</si>
  <si>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</si>
  <si>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</si>
  <si>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</si>
  <si>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</si>
  <si>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</si>
  <si>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</si>
  <si>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</si>
  <si>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</si>
  <si>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</si>
  <si>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</si>
  <si>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</si>
  <si>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</si>
  <si>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</si>
  <si>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</si>
  <si>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</si>
  <si>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</si>
  <si>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</si>
  <si>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</si>
  <si>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</si>
  <si>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</si>
  <si>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</si>
  <si>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</si>
  <si>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</si>
  <si>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</si>
  <si>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</si>
  <si>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</si>
  <si>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</si>
  <si>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</si>
  <si>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</si>
  <si>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</si>
  <si>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</si>
  <si>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</si>
  <si>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</si>
  <si>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</si>
  <si>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</si>
  <si>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</si>
  <si>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</si>
  <si>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</si>
  <si>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</si>
  <si>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</si>
  <si>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</si>
  <si>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</si>
  <si>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</si>
  <si>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</si>
  <si>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</si>
  <si>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</si>
  <si>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</si>
  <si>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</si>
  <si>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</si>
  <si>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</si>
  <si>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</si>
  <si>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</si>
  <si>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</si>
  <si>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</si>
  <si>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</si>
  <si>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</si>
  <si>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</si>
  <si>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</si>
  <si>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</si>
  <si>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</si>
  <si>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</si>
  <si>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</si>
  <si>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</si>
  <si>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</si>
  <si>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</si>
  <si>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</si>
  <si>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</si>
  <si>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</si>
  <si>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</si>
  <si>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</si>
  <si>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</si>
  <si>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</si>
  <si>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</si>
  <si>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</si>
  <si>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</si>
  <si>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</si>
  <si>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</si>
  <si>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</si>
  <si>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</si>
  <si>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</si>
  <si>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</si>
  <si>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</si>
  <si>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</si>
  <si>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</si>
  <si>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</si>
  <si>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</si>
  <si>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</si>
  <si>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</si>
  <si>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</si>
  <si>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</si>
  <si>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</si>
  <si>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</si>
  <si>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</si>
  <si>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</si>
  <si>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</si>
  <si>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</si>
  <si>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</si>
  <si>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</si>
  <si>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</si>
  <si>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</si>
  <si>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</si>
  <si>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</si>
  <si>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</si>
  <si>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</si>
  <si>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</si>
  <si>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</si>
  <si>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</si>
  <si>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</si>
  <si>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</si>
  <si>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</si>
  <si>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</si>
  <si>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</si>
  <si>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</si>
  <si>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</si>
  <si>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</si>
  <si>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</si>
  <si>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</si>
  <si>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</si>
  <si>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</si>
  <si>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</si>
  <si>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</si>
  <si>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</si>
  <si>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</si>
  <si>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</si>
  <si>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</si>
  <si>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</si>
  <si>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</si>
  <si>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</si>
  <si>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</si>
  <si>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</si>
  <si>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</si>
  <si>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</si>
  <si>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</si>
  <si>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</si>
  <si>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</si>
  <si>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</si>
  <si>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</si>
  <si>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</si>
  <si>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</si>
  <si>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</si>
  <si>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</si>
  <si>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</si>
  <si>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</si>
  <si>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</si>
  <si>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</si>
  <si>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</si>
  <si>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</si>
  <si>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</si>
  <si>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</si>
  <si>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</si>
  <si>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</si>
  <si>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</si>
  <si>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</si>
  <si>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</si>
  <si>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</si>
  <si>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</si>
  <si>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</si>
  <si>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</si>
  <si>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</si>
  <si>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</si>
  <si>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</si>
  <si>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</si>
  <si>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</si>
  <si>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</si>
  <si>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</si>
  <si>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</si>
  <si>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</si>
  <si>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</si>
  <si>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</si>
  <si>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</si>
  <si>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</si>
  <si>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</si>
  <si>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</si>
  <si>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</si>
  <si>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</si>
  <si>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</si>
  <si>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</si>
  <si>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</si>
  <si>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</si>
  <si>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</si>
  <si>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</si>
  <si>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</si>
  <si>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</si>
  <si>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</si>
  <si>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</si>
  <si>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</si>
  <si>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</si>
  <si>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</si>
  <si>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</si>
  <si>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</si>
  <si>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</si>
  <si>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</si>
  <si>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</si>
  <si>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</si>
  <si>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</si>
  <si>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</si>
  <si>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</si>
  <si>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</si>
  <si>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</si>
  <si>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</si>
  <si>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</si>
  <si>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</si>
  <si>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</si>
  <si>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</si>
  <si>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</si>
  <si>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</si>
  <si>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</si>
  <si>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</si>
  <si>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</si>
  <si>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</si>
  <si>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</si>
  <si>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</si>
  <si>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</si>
  <si>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</si>
  <si>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</si>
  <si>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</si>
  <si>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</si>
  <si>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</si>
  <si>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</si>
  <si>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</si>
  <si>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</si>
  <si>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</si>
  <si>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</si>
  <si>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</si>
  <si>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</si>
  <si>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</si>
  <si>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</si>
  <si>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</si>
  <si>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</si>
  <si>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</si>
  <si>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</si>
  <si>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</si>
  <si>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</si>
  <si>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</si>
  <si>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</si>
  <si>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</si>
  <si>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</si>
  <si>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</si>
  <si>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</si>
  <si>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</si>
  <si>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</si>
  <si>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</si>
  <si>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</si>
  <si>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</si>
  <si>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</si>
  <si>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</si>
  <si>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</si>
  <si>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</si>
  <si>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</si>
  <si>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</si>
  <si>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</si>
  <si>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</si>
  <si>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</si>
  <si>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</si>
  <si>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</si>
  <si>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</si>
  <si>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</si>
  <si>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</si>
  <si>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</si>
  <si>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</si>
  <si>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</si>
  <si>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</si>
  <si>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</si>
  <si>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</si>
  <si>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</si>
  <si>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</si>
  <si>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</si>
  <si>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</si>
  <si>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</si>
  <si>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</si>
  <si>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</si>
  <si>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</si>
  <si>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</si>
  <si>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</si>
  <si>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</si>
  <si>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</si>
  <si>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</si>
  <si>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</si>
  <si>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</si>
  <si>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</si>
  <si>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</si>
  <si>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</si>
  <si>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</si>
  <si>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</si>
  <si>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</si>
  <si>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</si>
  <si>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</si>
  <si>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</si>
  <si>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</si>
  <si>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</si>
  <si>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</si>
  <si>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</si>
  <si>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</si>
  <si>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</si>
  <si>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</si>
  <si>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</si>
  <si>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</si>
  <si>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</si>
  <si>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</si>
  <si>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</si>
  <si>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</si>
  <si>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</si>
  <si>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</si>
  <si>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</si>
  <si>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</si>
  <si>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</si>
  <si>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</si>
  <si>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</si>
  <si>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</si>
  <si>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</si>
  <si>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</si>
  <si>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</si>
  <si>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</si>
  <si>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</si>
  <si>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</si>
  <si>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</si>
  <si>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</si>
  <si>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</si>
  <si>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</si>
  <si>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</si>
  <si>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</si>
  <si>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</si>
  <si>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</si>
  <si>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</si>
  <si>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</si>
  <si>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</si>
  <si>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</si>
  <si>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</si>
  <si>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</si>
  <si>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</si>
  <si>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</si>
  <si>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</si>
  <si>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</si>
  <si>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</si>
  <si>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</si>
  <si>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</si>
  <si>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</si>
  <si>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</si>
  <si>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</si>
  <si>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</si>
  <si>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</si>
  <si>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</si>
  <si>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</si>
  <si>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</si>
  <si>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</si>
  <si>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</si>
  <si>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</si>
  <si>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</si>
  <si>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</si>
  <si>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</si>
  <si>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</si>
  <si>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</si>
  <si>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</si>
  <si>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</si>
  <si>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</si>
  <si>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</si>
  <si>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</si>
  <si>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</si>
  <si>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</si>
  <si>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</si>
  <si>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</si>
  <si>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</si>
  <si>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</si>
  <si>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</si>
  <si>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</si>
  <si>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</si>
  <si>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</si>
  <si>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</si>
  <si>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</si>
  <si>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</si>
  <si>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</si>
  <si>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</si>
  <si>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</si>
  <si>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</si>
  <si>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</si>
  <si>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</si>
  <si>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</si>
  <si>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</si>
  <si>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</si>
  <si>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</si>
  <si>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</si>
  <si>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</si>
  <si>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</si>
  <si>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</si>
  <si>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</si>
  <si>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</si>
  <si>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</si>
  <si>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</si>
  <si>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</si>
  <si>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</si>
  <si>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</si>
  <si>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</si>
  <si>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</si>
  <si>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</si>
  <si>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</si>
  <si>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</si>
  <si>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</si>
  <si>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</si>
  <si>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</si>
  <si>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</si>
  <si>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</si>
  <si>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</si>
  <si>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</si>
  <si>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</si>
  <si>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</si>
  <si>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</si>
  <si>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</si>
  <si>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</si>
  <si>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</si>
  <si>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</si>
  <si>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</si>
  <si>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</si>
  <si>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</si>
  <si>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</si>
  <si>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</si>
  <si>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</si>
  <si>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</si>
  <si>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</si>
  <si>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</si>
  <si>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</si>
  <si>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</si>
  <si>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</si>
  <si>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</si>
  <si>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</si>
  <si>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</si>
  <si>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</si>
  <si>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</si>
  <si>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</si>
  <si>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</si>
  <si>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</si>
  <si>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</si>
  <si>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</si>
  <si>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</si>
  <si>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</si>
  <si>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</si>
  <si>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</si>
  <si>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</si>
  <si>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</si>
  <si>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</si>
  <si>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</si>
  <si>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</si>
  <si>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</si>
  <si>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</si>
  <si>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</si>
  <si>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</si>
  <si>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</si>
  <si>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</si>
  <si>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</si>
  <si>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</si>
  <si>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</si>
  <si>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</si>
  <si>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</si>
  <si>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</si>
  <si>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</si>
  <si>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</si>
  <si>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</si>
  <si>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</si>
  <si>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</si>
  <si>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</si>
  <si>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</si>
  <si>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</si>
  <si>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</si>
  <si>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</si>
  <si>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</si>
  <si>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</si>
  <si>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</si>
  <si>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</si>
  <si>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</si>
  <si>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</si>
  <si>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</si>
  <si>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</si>
  <si>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</si>
  <si>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</si>
  <si>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</si>
  <si>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</si>
  <si>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</si>
  <si>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</si>
  <si>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</si>
  <si>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</si>
  <si>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</si>
  <si>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</si>
  <si>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</si>
  <si>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</si>
  <si>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</si>
  <si>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</si>
  <si>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</si>
  <si>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</si>
  <si>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</si>
  <si>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</si>
  <si>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</si>
  <si>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</si>
  <si>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</si>
  <si>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</si>
  <si>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</si>
  <si>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</si>
  <si>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</si>
  <si>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</si>
  <si>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</si>
  <si>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</si>
  <si>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</si>
  <si>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</si>
  <si>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</si>
  <si>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</si>
  <si>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</si>
  <si>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</si>
  <si>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</si>
  <si>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</si>
  <si>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</si>
  <si>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</si>
  <si>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</si>
  <si>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</si>
  <si>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</si>
  <si>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</si>
  <si>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</si>
  <si>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</si>
  <si>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</si>
  <si>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</si>
  <si>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</si>
  <si>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</si>
  <si>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</si>
  <si>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</si>
  <si>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</si>
  <si>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</si>
  <si>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</si>
  <si>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</si>
  <si>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</si>
  <si>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</si>
  <si>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</si>
  <si>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</si>
  <si>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</si>
  <si>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</si>
  <si>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</si>
  <si>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</si>
  <si>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</si>
  <si>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</si>
  <si>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</si>
  <si>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</si>
  <si>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</si>
  <si>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</si>
  <si>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</si>
  <si>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</si>
  <si>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</si>
  <si>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</si>
  <si>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</si>
  <si>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</si>
  <si>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</si>
  <si>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</si>
  <si>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</si>
  <si>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</si>
  <si>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</si>
  <si>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</si>
  <si>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</si>
  <si>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</si>
  <si>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</si>
  <si>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</si>
  <si>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</si>
  <si>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</si>
  <si>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</si>
  <si>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</si>
  <si>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</si>
  <si>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</si>
  <si>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</si>
  <si>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</si>
  <si>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</si>
  <si>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</si>
  <si>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</si>
  <si>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</si>
  <si>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</si>
  <si>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</si>
  <si>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</si>
  <si>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</si>
  <si>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</si>
  <si>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</si>
  <si>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</si>
  <si>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</si>
  <si>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</si>
  <si>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</si>
  <si>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</si>
  <si>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</si>
  <si>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</si>
  <si>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</si>
  <si>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</si>
  <si>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</si>
  <si>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</si>
  <si>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</si>
  <si>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</si>
  <si>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</si>
  <si>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</si>
  <si>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</si>
  <si>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</si>
  <si>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</si>
  <si>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</si>
  <si>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</si>
  <si>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</si>
  <si>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</si>
  <si>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</si>
  <si>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</si>
  <si>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</si>
  <si>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</si>
  <si>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</si>
  <si>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</si>
  <si>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</si>
  <si>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</si>
  <si>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</si>
  <si>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</si>
  <si>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</si>
  <si>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</si>
  <si>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</si>
  <si>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</si>
  <si>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</si>
  <si>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</si>
  <si>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</si>
  <si>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</si>
  <si>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</si>
  <si>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</si>
  <si>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</si>
  <si>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</si>
  <si>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</si>
  <si>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</si>
  <si>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</si>
  <si>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</si>
  <si>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</si>
  <si>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</si>
  <si>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</si>
  <si>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</si>
  <si>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</si>
  <si>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</si>
  <si>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</si>
  <si>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</si>
  <si>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</si>
  <si>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</si>
  <si>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بدهی به مهدی 14/2/1398</t>
  </si>
  <si>
    <t>17/2/1398</t>
  </si>
  <si>
    <t>15/2/1398</t>
  </si>
  <si>
    <t>پارس 391 تا 4079.8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</si>
</sst>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C85" zoomScale="90" zoomScaleNormal="90" workbookViewId="0">
      <selection activeCell="K117" sqref="K117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4644</v>
      </c>
      <c r="AE1" s="168" t="s">
        <v>4645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4634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4634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4634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4637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4634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4637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4637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4964</v>
      </c>
      <c r="F12" s="114">
        <v>0</v>
      </c>
      <c r="J12" s="168">
        <v>11</v>
      </c>
      <c r="K12" s="168" t="s">
        <v>4664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4637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4664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4653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4680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4653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4680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4670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4684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4684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4684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4684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4719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4705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4719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4705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4734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4712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4734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4719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4722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4728</v>
      </c>
      <c r="C23" s="99" t="s">
        <v>4729</v>
      </c>
      <c r="D23" s="99" t="s">
        <v>4730</v>
      </c>
      <c r="E23" s="69" t="s">
        <v>4731</v>
      </c>
      <c r="J23" s="215">
        <v>22</v>
      </c>
      <c r="K23" s="215" t="s">
        <v>4735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4722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4670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4735</v>
      </c>
      <c r="L24" s="222">
        <v>4388600</v>
      </c>
      <c r="M24" s="221">
        <v>5</v>
      </c>
      <c r="N24" s="222">
        <f t="shared" si="7"/>
        <v>21943000</v>
      </c>
      <c r="O24" s="223" t="s">
        <v>4750</v>
      </c>
      <c r="W24" s="215" t="s">
        <v>4735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4680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4738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4738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4684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4738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4749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4705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4749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4719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4749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4762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4722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4762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4726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4762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4732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4762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4762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4734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4762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4772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4774</v>
      </c>
    </row>
    <row r="33" spans="1:32">
      <c r="A33" s="99" t="s">
        <v>4735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4788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4772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4738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4788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4772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4749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4790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4790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4790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4790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4762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4964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4790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4772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4964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4800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4781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4800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4788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4800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4790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4821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4800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4837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4809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4842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4821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4853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4855</v>
      </c>
    </row>
    <row r="45" spans="1:32">
      <c r="A45" s="99" t="s">
        <v>4832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4853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4837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4881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4841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4842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4853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4857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4881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4884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4887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4895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4902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4910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4921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4964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4966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4980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5005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4803</v>
      </c>
      <c r="K63" s="215" t="s">
        <v>180</v>
      </c>
      <c r="L63" s="228" t="s">
        <v>4801</v>
      </c>
      <c r="M63" s="228" t="s">
        <v>4802</v>
      </c>
      <c r="N63" s="215" t="s">
        <v>6</v>
      </c>
      <c r="O63" s="215" t="s">
        <v>4804</v>
      </c>
      <c r="P63" s="215" t="s">
        <v>4823</v>
      </c>
      <c r="W63" s="96"/>
      <c r="X63" s="96"/>
      <c r="Y63" s="96"/>
      <c r="Z63" s="96" t="s">
        <v>4658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4735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4659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4772</v>
      </c>
      <c r="L65" s="84">
        <v>548929344</v>
      </c>
      <c r="M65" s="84"/>
      <c r="N65" s="215"/>
      <c r="O65" s="215"/>
      <c r="P65" s="215"/>
      <c r="W65" s="96"/>
      <c r="X65" s="22" t="s">
        <v>4662</v>
      </c>
      <c r="Y65" s="22" t="s">
        <v>4661</v>
      </c>
      <c r="Z65" s="22" t="s">
        <v>4660</v>
      </c>
      <c r="AA65" s="22" t="s">
        <v>4663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4781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4788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4790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4800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4820</v>
      </c>
      <c r="J70" s="35">
        <f t="shared" si="12"/>
        <v>45893629</v>
      </c>
      <c r="K70" s="5" t="s">
        <v>4809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4821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4837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4841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4842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4853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4857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4881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4884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4909</v>
      </c>
      <c r="J80" s="35">
        <f t="shared" si="12"/>
        <v>-1984018</v>
      </c>
      <c r="K80" s="5" t="s">
        <v>4887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4895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4908</v>
      </c>
      <c r="J82" s="86">
        <f t="shared" si="12"/>
        <v>8860702</v>
      </c>
      <c r="K82" s="192" t="s">
        <v>4902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30">
      <c r="I83" s="241" t="s">
        <v>4919</v>
      </c>
      <c r="J83" s="86">
        <f>L83-L82+31412200</f>
        <v>20439704</v>
      </c>
      <c r="K83" s="192" t="s">
        <v>4910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4920</v>
      </c>
      <c r="J84" s="189">
        <f t="shared" si="12"/>
        <v>21224293</v>
      </c>
      <c r="K84" s="190" t="s">
        <v>4921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4934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>
      <c r="I87" s="243" t="s">
        <v>4948</v>
      </c>
      <c r="J87" s="197">
        <f>L87-L86-20000</f>
        <v>7878257</v>
      </c>
      <c r="K87" s="191" t="s">
        <v>4935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4950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4951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4994</v>
      </c>
      <c r="J90" s="197">
        <f>L90-L89-1000000</f>
        <v>3840350</v>
      </c>
      <c r="K90" s="191" t="s">
        <v>4964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12" si="16">M90-M89</f>
        <v>-974915</v>
      </c>
      <c r="P90" s="197">
        <f>N90-N89-1000000</f>
        <v>2865435</v>
      </c>
    </row>
    <row r="91" spans="6:16">
      <c r="I91" s="215"/>
      <c r="J91" s="113">
        <f t="shared" ref="J91:J112" si="17">L91-L90</f>
        <v>-12127865</v>
      </c>
      <c r="K91" s="215" t="s">
        <v>4966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12" si="18">N91-N90</f>
        <v>-15338040</v>
      </c>
    </row>
    <row r="92" spans="6:16">
      <c r="I92" s="215"/>
      <c r="J92" s="113">
        <f t="shared" si="17"/>
        <v>11765514</v>
      </c>
      <c r="K92" s="215" t="s">
        <v>4980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4985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4986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4993</v>
      </c>
      <c r="J95" s="197">
        <f>L95-L94-2520000</f>
        <v>-274657</v>
      </c>
      <c r="K95" s="191" t="s">
        <v>4989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4995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17">
      <c r="I97" s="215"/>
      <c r="J97" s="113">
        <f t="shared" si="17"/>
        <v>4588822</v>
      </c>
      <c r="K97" s="215" t="s">
        <v>4999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17">
      <c r="I98" s="215"/>
      <c r="J98" s="113">
        <f t="shared" si="17"/>
        <v>-11230604</v>
      </c>
      <c r="K98" s="215" t="s">
        <v>5002</v>
      </c>
      <c r="L98" s="84">
        <v>698014035</v>
      </c>
      <c r="M98" s="84">
        <v>314823372</v>
      </c>
      <c r="N98" s="113">
        <f t="shared" ref="N98:N111" si="22">L98+M98</f>
        <v>1012837407</v>
      </c>
      <c r="O98" s="113">
        <f t="shared" ref="O98:O111" si="23">M98-M97</f>
        <v>-3616335</v>
      </c>
      <c r="P98" s="113">
        <f t="shared" ref="P98:P111" si="24">N98-N97</f>
        <v>-14846939</v>
      </c>
    </row>
    <row r="99" spans="9:17">
      <c r="I99" s="215"/>
      <c r="J99" s="113">
        <f t="shared" si="17"/>
        <v>6285999</v>
      </c>
      <c r="K99" s="215" t="s">
        <v>5003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17">
      <c r="I100" s="215"/>
      <c r="J100" s="113">
        <f t="shared" si="17"/>
        <v>17278812</v>
      </c>
      <c r="K100" s="215" t="s">
        <v>5005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17">
      <c r="I101" s="215"/>
      <c r="J101" s="113">
        <f t="shared" si="17"/>
        <v>287745</v>
      </c>
      <c r="K101" s="215" t="s">
        <v>5006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17">
      <c r="I102" s="215"/>
      <c r="J102" s="113">
        <f t="shared" si="17"/>
        <v>-5866591</v>
      </c>
      <c r="K102" s="215" t="s">
        <v>5009</v>
      </c>
      <c r="L102" s="84">
        <v>716000000</v>
      </c>
      <c r="M102" s="84">
        <v>319000000</v>
      </c>
      <c r="N102" s="113">
        <f t="shared" si="22"/>
        <v>1035000000</v>
      </c>
      <c r="O102" s="113">
        <f t="shared" si="23"/>
        <v>-2203407</v>
      </c>
      <c r="P102" s="113">
        <f t="shared" si="24"/>
        <v>-8069998</v>
      </c>
    </row>
    <row r="103" spans="9:17">
      <c r="I103" s="215"/>
      <c r="J103" s="113">
        <f t="shared" si="17"/>
        <v>288384</v>
      </c>
      <c r="K103" s="215" t="s">
        <v>5008</v>
      </c>
      <c r="L103" s="84">
        <v>716288384</v>
      </c>
      <c r="M103" s="84">
        <v>320388494</v>
      </c>
      <c r="N103" s="113">
        <f t="shared" si="22"/>
        <v>1036676878</v>
      </c>
      <c r="O103" s="113">
        <f t="shared" si="23"/>
        <v>1388494</v>
      </c>
      <c r="P103" s="113">
        <f t="shared" si="24"/>
        <v>1676878</v>
      </c>
    </row>
    <row r="104" spans="9:17">
      <c r="I104" s="191" t="s">
        <v>5055</v>
      </c>
      <c r="J104" s="197">
        <f>L104-L103-1400000</f>
        <v>-1688384</v>
      </c>
      <c r="K104" s="191" t="s">
        <v>5052</v>
      </c>
      <c r="L104" s="244">
        <v>716000000</v>
      </c>
      <c r="M104" s="244">
        <v>322000000</v>
      </c>
      <c r="N104" s="197">
        <f t="shared" si="22"/>
        <v>1038000000</v>
      </c>
      <c r="O104" s="197">
        <f t="shared" si="23"/>
        <v>1611506</v>
      </c>
      <c r="P104" s="197">
        <f>N104-N103-1400000</f>
        <v>-76878</v>
      </c>
    </row>
    <row r="105" spans="9:17">
      <c r="I105" s="215"/>
      <c r="J105" s="113">
        <f t="shared" si="17"/>
        <v>8529471</v>
      </c>
      <c r="K105" s="215" t="s">
        <v>5054</v>
      </c>
      <c r="L105" s="84">
        <v>724529471</v>
      </c>
      <c r="M105" s="84">
        <v>326836192</v>
      </c>
      <c r="N105" s="113">
        <f t="shared" si="22"/>
        <v>1051365663</v>
      </c>
      <c r="O105" s="113">
        <f t="shared" si="23"/>
        <v>4836192</v>
      </c>
      <c r="P105" s="113">
        <f t="shared" si="24"/>
        <v>13365663</v>
      </c>
    </row>
    <row r="106" spans="9:17">
      <c r="I106" s="190" t="s">
        <v>5057</v>
      </c>
      <c r="J106" s="189">
        <f>L106-L105-1550000</f>
        <v>16319322</v>
      </c>
      <c r="K106" s="190" t="s">
        <v>5056</v>
      </c>
      <c r="L106" s="242">
        <v>742398793</v>
      </c>
      <c r="M106" s="242">
        <v>333388204</v>
      </c>
      <c r="N106" s="189">
        <f t="shared" si="22"/>
        <v>1075786997</v>
      </c>
      <c r="O106" s="189">
        <f>M106-M105-1550000</f>
        <v>5002012</v>
      </c>
      <c r="P106" s="189">
        <f>N106-N105-3100000</f>
        <v>21321334</v>
      </c>
    </row>
    <row r="107" spans="9:17">
      <c r="I107" s="215"/>
      <c r="J107" s="113">
        <f t="shared" si="17"/>
        <v>7585832</v>
      </c>
      <c r="K107" s="215" t="s">
        <v>5058</v>
      </c>
      <c r="L107" s="84">
        <v>749984625</v>
      </c>
      <c r="M107" s="84">
        <v>336802679</v>
      </c>
      <c r="N107" s="113">
        <f t="shared" si="22"/>
        <v>1086787304</v>
      </c>
      <c r="O107" s="113">
        <f t="shared" si="23"/>
        <v>3414475</v>
      </c>
      <c r="P107" s="113">
        <f t="shared" si="24"/>
        <v>11000307</v>
      </c>
    </row>
    <row r="108" spans="9:17">
      <c r="I108" s="190" t="s">
        <v>5064</v>
      </c>
      <c r="J108" s="189">
        <f>L108-L107-250000</f>
        <v>9825827</v>
      </c>
      <c r="K108" s="190" t="s">
        <v>5001</v>
      </c>
      <c r="L108" s="242">
        <v>760060452</v>
      </c>
      <c r="M108" s="242">
        <v>342834562</v>
      </c>
      <c r="N108" s="189">
        <f t="shared" si="22"/>
        <v>1102895014</v>
      </c>
      <c r="O108" s="189">
        <f t="shared" si="23"/>
        <v>6031883</v>
      </c>
      <c r="P108" s="189">
        <f>N108-N107-250000</f>
        <v>15857710</v>
      </c>
    </row>
    <row r="109" spans="9:17">
      <c r="I109" s="215"/>
      <c r="J109" s="113">
        <f t="shared" si="17"/>
        <v>4204925</v>
      </c>
      <c r="K109" s="215" t="s">
        <v>5065</v>
      </c>
      <c r="L109" s="84">
        <v>764265377</v>
      </c>
      <c r="M109" s="84">
        <v>346850621</v>
      </c>
      <c r="N109" s="113">
        <f t="shared" si="22"/>
        <v>1111115998</v>
      </c>
      <c r="O109" s="113">
        <f t="shared" si="23"/>
        <v>4016059</v>
      </c>
      <c r="P109" s="113">
        <f t="shared" si="24"/>
        <v>8220984</v>
      </c>
    </row>
    <row r="110" spans="9:17">
      <c r="I110" s="215"/>
      <c r="J110" s="113">
        <f t="shared" si="17"/>
        <v>-764265377</v>
      </c>
      <c r="K110" s="215"/>
      <c r="L110" s="84"/>
      <c r="M110" s="84"/>
      <c r="N110" s="113">
        <f t="shared" si="22"/>
        <v>0</v>
      </c>
      <c r="O110" s="113">
        <f t="shared" si="23"/>
        <v>-346850621</v>
      </c>
      <c r="P110" s="113">
        <f t="shared" si="24"/>
        <v>-1111115998</v>
      </c>
    </row>
    <row r="111" spans="9:17">
      <c r="I111" s="215"/>
      <c r="J111" s="113">
        <f t="shared" si="17"/>
        <v>0</v>
      </c>
      <c r="K111" s="215"/>
      <c r="L111" s="84"/>
      <c r="M111" s="84"/>
      <c r="N111" s="113">
        <f t="shared" si="22"/>
        <v>0</v>
      </c>
      <c r="O111" s="113">
        <f t="shared" si="23"/>
        <v>0</v>
      </c>
      <c r="P111" s="113">
        <f t="shared" si="24"/>
        <v>0</v>
      </c>
    </row>
    <row r="112" spans="9:17">
      <c r="I112" s="215"/>
      <c r="J112" s="113">
        <f t="shared" si="17"/>
        <v>0</v>
      </c>
      <c r="K112" s="215"/>
      <c r="L112" s="84">
        <v>0</v>
      </c>
      <c r="M112" s="84"/>
      <c r="N112" s="215"/>
      <c r="O112" s="113">
        <f t="shared" si="16"/>
        <v>0</v>
      </c>
      <c r="P112" s="113">
        <f t="shared" si="18"/>
        <v>0</v>
      </c>
    </row>
    <row r="115" spans="12:16">
      <c r="O115" t="s">
        <v>25</v>
      </c>
    </row>
    <row r="116" spans="12:16">
      <c r="L116" t="s">
        <v>25</v>
      </c>
      <c r="N116" t="s">
        <v>25</v>
      </c>
      <c r="O116" t="s">
        <v>25</v>
      </c>
    </row>
    <row r="117" spans="12:16">
      <c r="P117" t="s">
        <v>25</v>
      </c>
    </row>
    <row r="118" spans="12:16">
      <c r="N118" t="s">
        <v>25</v>
      </c>
    </row>
    <row r="119" spans="12:16">
      <c r="N119" t="s">
        <v>25</v>
      </c>
      <c r="O119" t="s">
        <v>25</v>
      </c>
    </row>
    <row r="121" spans="12:16">
      <c r="N121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4809</v>
      </c>
      <c r="B44" s="113">
        <v>-31000</v>
      </c>
      <c r="C44" s="99" t="s">
        <v>4822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4910</v>
      </c>
      <c r="B45" s="113">
        <v>2060725</v>
      </c>
      <c r="C45" s="99" t="s">
        <v>4915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4946</v>
      </c>
      <c r="B46" s="113">
        <v>-1073169</v>
      </c>
      <c r="C46" s="99" t="s">
        <v>4947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4935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4935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4951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4958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4959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4966</v>
      </c>
      <c r="B52" s="113">
        <v>-195330</v>
      </c>
      <c r="C52" s="99" t="s">
        <v>4973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4980</v>
      </c>
      <c r="B53" s="113">
        <v>-140730</v>
      </c>
      <c r="C53" s="99" t="s">
        <v>4987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4985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4985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4989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4869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4869</v>
      </c>
      <c r="I46" s="11">
        <v>248200</v>
      </c>
      <c r="J46" s="11" t="s">
        <v>4880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5031</v>
      </c>
      <c r="B1" s="99" t="s">
        <v>5032</v>
      </c>
      <c r="C1" s="99" t="s">
        <v>5033</v>
      </c>
      <c r="D1" s="99" t="s">
        <v>5034</v>
      </c>
      <c r="E1" s="99" t="s">
        <v>5044</v>
      </c>
      <c r="F1" s="99" t="s">
        <v>5043</v>
      </c>
      <c r="G1" s="99"/>
      <c r="I1" t="s">
        <v>5036</v>
      </c>
      <c r="J1" t="s">
        <v>5040</v>
      </c>
      <c r="K1" t="s">
        <v>5041</v>
      </c>
    </row>
    <row r="2" spans="1:11">
      <c r="A2" s="99" t="s">
        <v>5035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5037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5038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5039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5035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5042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5039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5045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5046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5047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5048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5049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5012</v>
      </c>
      <c r="E1" t="s">
        <v>5013</v>
      </c>
      <c r="F1" t="s">
        <v>8</v>
      </c>
    </row>
    <row r="2" spans="1:6">
      <c r="A2" t="s">
        <v>5016</v>
      </c>
      <c r="B2">
        <v>237</v>
      </c>
      <c r="C2">
        <v>281</v>
      </c>
      <c r="D2">
        <f>B2/C2</f>
        <v>0.84341637010676151</v>
      </c>
      <c r="E2" t="s">
        <v>5017</v>
      </c>
      <c r="F2" t="s">
        <v>5018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5017</v>
      </c>
      <c r="F3" s="96" t="s">
        <v>5018</v>
      </c>
    </row>
    <row r="4" spans="1:6">
      <c r="A4" t="s">
        <v>5019</v>
      </c>
      <c r="B4">
        <v>195</v>
      </c>
      <c r="C4">
        <v>73</v>
      </c>
      <c r="D4" s="96">
        <f t="shared" si="0"/>
        <v>2.6712328767123288</v>
      </c>
      <c r="E4" t="s">
        <v>5020</v>
      </c>
      <c r="F4" t="s">
        <v>5021</v>
      </c>
    </row>
    <row r="5" spans="1:6">
      <c r="A5" t="s">
        <v>5022</v>
      </c>
      <c r="B5">
        <v>1</v>
      </c>
      <c r="C5">
        <v>1</v>
      </c>
      <c r="D5" s="96">
        <f t="shared" si="0"/>
        <v>1</v>
      </c>
      <c r="E5" t="s">
        <v>5020</v>
      </c>
      <c r="F5" t="s">
        <v>5023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5018</v>
      </c>
    </row>
    <row r="7" spans="1:6">
      <c r="A7" t="s">
        <v>5024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5025</v>
      </c>
      <c r="B8">
        <v>335</v>
      </c>
      <c r="C8">
        <v>141</v>
      </c>
      <c r="D8" s="96">
        <f t="shared" si="0"/>
        <v>2.375886524822695</v>
      </c>
      <c r="F8" s="96" t="s">
        <v>5023</v>
      </c>
    </row>
    <row r="9" spans="1:6">
      <c r="A9" t="s">
        <v>4868</v>
      </c>
      <c r="B9">
        <v>150</v>
      </c>
      <c r="C9">
        <v>240</v>
      </c>
      <c r="D9" s="96">
        <f t="shared" si="0"/>
        <v>0.625</v>
      </c>
      <c r="F9" t="s">
        <v>5026</v>
      </c>
    </row>
    <row r="10" spans="1:6">
      <c r="A10" t="s">
        <v>5027</v>
      </c>
      <c r="B10">
        <v>187</v>
      </c>
      <c r="C10">
        <v>208</v>
      </c>
      <c r="D10" s="96">
        <f t="shared" si="0"/>
        <v>0.89903846153846156</v>
      </c>
      <c r="F10" t="s">
        <v>5017</v>
      </c>
    </row>
    <row r="11" spans="1:6">
      <c r="A11" t="s">
        <v>5028</v>
      </c>
      <c r="B11">
        <v>412</v>
      </c>
      <c r="C11">
        <v>183</v>
      </c>
      <c r="D11" s="96">
        <f t="shared" si="0"/>
        <v>2.2513661202185791</v>
      </c>
      <c r="F11" s="96" t="s">
        <v>5023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5011</v>
      </c>
      <c r="B21">
        <v>113</v>
      </c>
      <c r="C21">
        <v>215</v>
      </c>
      <c r="D21" s="96">
        <f t="shared" si="0"/>
        <v>0.52558139534883719</v>
      </c>
      <c r="E21" t="s">
        <v>5014</v>
      </c>
      <c r="F21" t="s">
        <v>5015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4939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4941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4935</v>
      </c>
      <c r="B4" s="18">
        <v>-960200</v>
      </c>
      <c r="C4" s="18">
        <v>0</v>
      </c>
      <c r="D4" s="113">
        <f t="shared" si="0"/>
        <v>-960200</v>
      </c>
      <c r="E4" s="99" t="s">
        <v>4942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4821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4821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4821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4832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4832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4832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4836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4837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4837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4842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4842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4857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4884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4895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4899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4899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4899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4901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4901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4902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4910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4921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4921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4921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4943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4940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4960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4969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4988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5007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5010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5050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5051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5061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4632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4631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4637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4637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4653</v>
      </c>
      <c r="B5" s="18">
        <v>-200000</v>
      </c>
      <c r="C5" s="18">
        <v>0</v>
      </c>
      <c r="D5" s="113">
        <f t="shared" si="0"/>
        <v>-200000</v>
      </c>
      <c r="E5" s="20" t="s">
        <v>4650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4664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4670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4670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4670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4670</v>
      </c>
      <c r="B10" s="18">
        <v>-51400</v>
      </c>
      <c r="C10" s="18">
        <v>0</v>
      </c>
      <c r="D10" s="113">
        <f t="shared" si="0"/>
        <v>-51400</v>
      </c>
      <c r="E10" s="19" t="s">
        <v>4677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4680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4680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4705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4705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4705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4710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4726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4732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4732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4734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4735</v>
      </c>
      <c r="B22" s="18">
        <v>-324747</v>
      </c>
      <c r="C22" s="18">
        <v>0</v>
      </c>
      <c r="D22" s="113">
        <f t="shared" si="0"/>
        <v>-324747</v>
      </c>
      <c r="E22" s="19" t="s">
        <v>4744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4753</v>
      </c>
      <c r="B23" s="18">
        <v>-297992</v>
      </c>
      <c r="C23" s="18">
        <v>0</v>
      </c>
      <c r="D23" s="113">
        <f t="shared" si="0"/>
        <v>-297992</v>
      </c>
      <c r="E23" s="19" t="s">
        <v>4754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4762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4733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4777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4778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4772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4785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4809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4821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4821</v>
      </c>
      <c r="B6" s="18">
        <v>-1866154</v>
      </c>
      <c r="C6" s="18">
        <v>0</v>
      </c>
      <c r="D6" s="113">
        <f t="shared" si="0"/>
        <v>-1866154</v>
      </c>
      <c r="E6" s="19" t="s">
        <v>4830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4821</v>
      </c>
      <c r="B7" s="18">
        <v>-36600</v>
      </c>
      <c r="C7" s="18">
        <v>0</v>
      </c>
      <c r="D7" s="113">
        <f t="shared" si="0"/>
        <v>-36600</v>
      </c>
      <c r="E7" s="19" t="s">
        <v>4831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4832</v>
      </c>
      <c r="B8" s="18">
        <v>-492000</v>
      </c>
      <c r="C8" s="18">
        <v>0</v>
      </c>
      <c r="D8" s="113">
        <f t="shared" si="0"/>
        <v>-492000</v>
      </c>
      <c r="E8" s="19" t="s">
        <v>4833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4832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4832</v>
      </c>
      <c r="B10" s="18">
        <v>-40000</v>
      </c>
      <c r="C10" s="18">
        <v>0</v>
      </c>
      <c r="D10" s="113">
        <f t="shared" si="0"/>
        <v>-40000</v>
      </c>
      <c r="E10" s="19" t="s">
        <v>4835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4836</v>
      </c>
      <c r="B11" s="18">
        <v>-66000</v>
      </c>
      <c r="C11" s="18">
        <v>0</v>
      </c>
      <c r="D11" s="113">
        <f t="shared" si="0"/>
        <v>-66000</v>
      </c>
      <c r="E11" s="19" t="s">
        <v>4835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4837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4837</v>
      </c>
      <c r="B13" s="18">
        <v>-200500</v>
      </c>
      <c r="C13" s="18">
        <v>0</v>
      </c>
      <c r="D13" s="113">
        <f t="shared" si="0"/>
        <v>-200500</v>
      </c>
      <c r="E13" s="20" t="s">
        <v>4838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4842</v>
      </c>
      <c r="B14" s="18">
        <v>1563000</v>
      </c>
      <c r="C14" s="18">
        <v>0</v>
      </c>
      <c r="D14" s="113">
        <f t="shared" si="0"/>
        <v>1563000</v>
      </c>
      <c r="E14" s="20" t="s">
        <v>4848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4842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4857</v>
      </c>
      <c r="B16" s="18">
        <v>-20000</v>
      </c>
      <c r="C16" s="18">
        <v>0</v>
      </c>
      <c r="D16" s="113">
        <f t="shared" si="0"/>
        <v>-20000</v>
      </c>
      <c r="E16" s="20" t="s">
        <v>4862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4878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4884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4895</v>
      </c>
      <c r="B20" s="18">
        <v>400000</v>
      </c>
      <c r="C20" s="18">
        <v>0</v>
      </c>
      <c r="D20" s="113">
        <f t="shared" si="0"/>
        <v>400000</v>
      </c>
      <c r="E20" s="19" t="s">
        <v>4897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4899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4899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4899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4901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4901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4902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4902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4910</v>
      </c>
      <c r="B28" s="18">
        <v>433375</v>
      </c>
      <c r="C28" s="18">
        <v>0</v>
      </c>
      <c r="D28" s="113">
        <f t="shared" si="0"/>
        <v>433375</v>
      </c>
      <c r="E28" s="19" t="s">
        <v>4915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4921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4921</v>
      </c>
      <c r="B30" s="18">
        <v>-300000</v>
      </c>
      <c r="C30" s="18">
        <v>0</v>
      </c>
      <c r="D30" s="113">
        <f t="shared" si="0"/>
        <v>-300000</v>
      </c>
      <c r="E30" s="19" t="s">
        <v>4924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4921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4932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4783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4797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4798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4808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4819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4824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4828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4829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4839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4849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4852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4856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4885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4889</v>
      </c>
      <c r="F69" s="96"/>
      <c r="G69" s="96"/>
      <c r="H69" s="96"/>
      <c r="I69" s="96"/>
    </row>
    <row r="70" spans="1:22">
      <c r="D70" s="18">
        <v>-400000</v>
      </c>
      <c r="E70" s="122" t="s">
        <v>4898</v>
      </c>
      <c r="G70" t="s">
        <v>25</v>
      </c>
    </row>
    <row r="71" spans="1:22">
      <c r="D71" s="18">
        <v>463200</v>
      </c>
      <c r="E71" s="122" t="s">
        <v>4900</v>
      </c>
    </row>
    <row r="72" spans="1:22">
      <c r="D72" s="18">
        <v>2000000</v>
      </c>
      <c r="E72" s="96" t="s">
        <v>4903</v>
      </c>
    </row>
    <row r="73" spans="1:22">
      <c r="D73" s="18">
        <v>-280000</v>
      </c>
      <c r="E73" t="s">
        <v>4907</v>
      </c>
    </row>
    <row r="74" spans="1:22">
      <c r="D74" s="18">
        <v>-200000</v>
      </c>
      <c r="E74" s="96" t="s">
        <v>4916</v>
      </c>
    </row>
    <row r="75" spans="1:22">
      <c r="D75" s="18">
        <v>-2000000</v>
      </c>
      <c r="E75" s="96" t="s">
        <v>4922</v>
      </c>
    </row>
    <row r="76" spans="1:22">
      <c r="D76" s="18">
        <v>92800</v>
      </c>
      <c r="E76" s="96" t="s">
        <v>4928</v>
      </c>
    </row>
    <row r="77" spans="1:22">
      <c r="D77" s="18">
        <v>1417727</v>
      </c>
      <c r="E77" s="96" t="s">
        <v>4932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4633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4637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4637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4653</v>
      </c>
      <c r="B296" s="18">
        <v>-200000</v>
      </c>
      <c r="C296" s="18">
        <v>0</v>
      </c>
      <c r="D296" s="18">
        <f t="shared" si="18"/>
        <v>-200000</v>
      </c>
      <c r="E296" s="99" t="s">
        <v>4654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4664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4670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4670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4670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4670</v>
      </c>
      <c r="B301" s="18">
        <v>-51400</v>
      </c>
      <c r="C301" s="18">
        <v>0</v>
      </c>
      <c r="D301" s="18">
        <f t="shared" si="18"/>
        <v>-51400</v>
      </c>
      <c r="E301" s="99" t="s">
        <v>4677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4680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4680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4705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4705</v>
      </c>
      <c r="B305" s="18">
        <v>-276773</v>
      </c>
      <c r="C305" s="18">
        <v>0</v>
      </c>
      <c r="D305" s="18">
        <f t="shared" si="18"/>
        <v>-276773</v>
      </c>
      <c r="E305" s="99" t="s">
        <v>4709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4710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4726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4732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4732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4734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4735</v>
      </c>
      <c r="B312" s="18">
        <v>-324747</v>
      </c>
      <c r="C312" s="18">
        <v>0</v>
      </c>
      <c r="D312" s="18">
        <f t="shared" si="18"/>
        <v>-324747</v>
      </c>
      <c r="E312" s="99" t="s">
        <v>4744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4753</v>
      </c>
      <c r="B313" s="18">
        <v>-297992</v>
      </c>
      <c r="C313" s="18">
        <v>0</v>
      </c>
      <c r="D313" s="18">
        <f t="shared" si="18"/>
        <v>-297992</v>
      </c>
      <c r="E313" s="99" t="s">
        <v>4754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4762</v>
      </c>
      <c r="B315" s="18">
        <v>-40000</v>
      </c>
      <c r="C315" s="18">
        <v>0</v>
      </c>
      <c r="D315" s="18">
        <f t="shared" si="18"/>
        <v>-40000</v>
      </c>
      <c r="E315" s="99" t="s">
        <v>4779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4785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4809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4821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4821</v>
      </c>
      <c r="B319" s="18">
        <v>-1866154</v>
      </c>
      <c r="C319" s="18">
        <v>0</v>
      </c>
      <c r="D319" s="18">
        <f t="shared" si="18"/>
        <v>-1866154</v>
      </c>
      <c r="E319" s="19" t="s">
        <v>4830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4821</v>
      </c>
      <c r="B320" s="18">
        <v>-36600</v>
      </c>
      <c r="C320" s="18">
        <v>0</v>
      </c>
      <c r="D320" s="18">
        <f t="shared" si="18"/>
        <v>-36600</v>
      </c>
      <c r="E320" s="99" t="s">
        <v>4831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4832</v>
      </c>
      <c r="B321" s="18">
        <v>-492000</v>
      </c>
      <c r="C321" s="18">
        <v>0</v>
      </c>
      <c r="D321" s="18">
        <f t="shared" si="18"/>
        <v>-492000</v>
      </c>
      <c r="E321" s="99" t="s">
        <v>4833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4832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4832</v>
      </c>
      <c r="B323" s="18">
        <v>-40000</v>
      </c>
      <c r="C323" s="18">
        <v>0</v>
      </c>
      <c r="D323" s="18">
        <f t="shared" si="18"/>
        <v>-40000</v>
      </c>
      <c r="E323" s="99" t="s">
        <v>4835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4836</v>
      </c>
      <c r="B324" s="18">
        <v>-66000</v>
      </c>
      <c r="C324" s="18">
        <v>0</v>
      </c>
      <c r="D324" s="18">
        <f t="shared" si="18"/>
        <v>-66000</v>
      </c>
      <c r="E324" s="99" t="s">
        <v>4835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4837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4837</v>
      </c>
      <c r="B326" s="18">
        <v>-200500</v>
      </c>
      <c r="C326" s="18">
        <v>0</v>
      </c>
      <c r="D326" s="18">
        <f t="shared" si="18"/>
        <v>-200500</v>
      </c>
      <c r="E326" s="99" t="s">
        <v>4838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4842</v>
      </c>
      <c r="B327" s="18">
        <v>1563000</v>
      </c>
      <c r="C327" s="18">
        <v>0</v>
      </c>
      <c r="D327" s="18">
        <f t="shared" si="18"/>
        <v>1563000</v>
      </c>
      <c r="E327" s="99" t="s">
        <v>4848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4842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4857</v>
      </c>
      <c r="B329" s="18">
        <v>-20000</v>
      </c>
      <c r="C329" s="18">
        <v>0</v>
      </c>
      <c r="D329" s="18">
        <f t="shared" si="18"/>
        <v>-20000</v>
      </c>
      <c r="E329" s="99" t="s">
        <v>4862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4879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4884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4895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4899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4899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4899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4901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4901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4902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4902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4910</v>
      </c>
      <c r="B341" s="18">
        <v>433375</v>
      </c>
      <c r="C341" s="18">
        <v>0</v>
      </c>
      <c r="D341" s="18">
        <f t="shared" si="18"/>
        <v>433375</v>
      </c>
      <c r="E341" s="99" t="s">
        <v>4915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4921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4921</v>
      </c>
      <c r="B343" s="18">
        <v>-300000</v>
      </c>
      <c r="C343" s="18">
        <v>0</v>
      </c>
      <c r="D343" s="18">
        <f t="shared" si="18"/>
        <v>-300000</v>
      </c>
      <c r="E343" s="99" t="s">
        <v>4924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4921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4932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4941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4935</v>
      </c>
      <c r="B347" s="18">
        <v>-960200</v>
      </c>
      <c r="C347" s="18">
        <v>0</v>
      </c>
      <c r="D347" s="18">
        <f t="shared" si="18"/>
        <v>-960200</v>
      </c>
      <c r="E347" s="99" t="s">
        <v>4942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1" t="s">
        <v>1089</v>
      </c>
      <c r="R21" s="251"/>
      <c r="S21" s="251"/>
      <c r="T21" s="251"/>
      <c r="U21" s="96"/>
      <c r="V21" s="96"/>
      <c r="W21" s="96"/>
      <c r="X21" s="96"/>
      <c r="Y21" s="96"/>
      <c r="Z21" s="96"/>
    </row>
    <row r="22" spans="5:35">
      <c r="O22" s="99"/>
      <c r="P22" s="99"/>
      <c r="Q22" s="251"/>
      <c r="R22" s="251"/>
      <c r="S22" s="251"/>
      <c r="T22" s="251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2" t="s">
        <v>1090</v>
      </c>
      <c r="R23" s="253" t="s">
        <v>1091</v>
      </c>
      <c r="S23" s="252" t="s">
        <v>1092</v>
      </c>
      <c r="T23" s="254" t="s">
        <v>1093</v>
      </c>
      <c r="AD23" t="s">
        <v>25</v>
      </c>
    </row>
    <row r="24" spans="5:35">
      <c r="O24" s="99"/>
      <c r="P24" s="99"/>
      <c r="Q24" s="252"/>
      <c r="R24" s="253"/>
      <c r="S24" s="252"/>
      <c r="T24" s="254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4832</v>
      </c>
      <c r="B5" t="s">
        <v>4850</v>
      </c>
    </row>
    <row r="6" spans="1:3">
      <c r="A6" t="s">
        <v>4842</v>
      </c>
      <c r="B6" t="s">
        <v>4851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4758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4749</v>
      </c>
      <c r="B2" s="95">
        <v>10300</v>
      </c>
      <c r="C2" s="95">
        <v>0</v>
      </c>
      <c r="D2" s="99" t="s">
        <v>4759</v>
      </c>
      <c r="E2" s="96"/>
      <c r="F2" s="96"/>
      <c r="G2" s="96"/>
    </row>
    <row r="3" spans="1:7">
      <c r="A3" s="99" t="s">
        <v>4749</v>
      </c>
      <c r="B3" s="95">
        <v>0</v>
      </c>
      <c r="C3" s="95">
        <v>5500</v>
      </c>
      <c r="D3" s="99" t="s">
        <v>4760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4772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4788</v>
      </c>
      <c r="B6" s="95">
        <v>0</v>
      </c>
      <c r="C6" s="95">
        <v>3000</v>
      </c>
      <c r="D6" s="99" t="s">
        <v>4792</v>
      </c>
      <c r="E6" s="96"/>
      <c r="F6" s="96"/>
      <c r="G6" s="96"/>
    </row>
    <row r="7" spans="1:7">
      <c r="A7" s="99" t="s">
        <v>4788</v>
      </c>
      <c r="B7" s="95">
        <v>9200</v>
      </c>
      <c r="C7" s="95">
        <v>0</v>
      </c>
      <c r="D7" s="99" t="s">
        <v>4759</v>
      </c>
      <c r="E7" s="96"/>
      <c r="F7" s="96"/>
      <c r="G7" s="96"/>
    </row>
    <row r="8" spans="1:7">
      <c r="A8" s="99" t="s">
        <v>4790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4800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4800</v>
      </c>
      <c r="B10" s="95">
        <v>10200</v>
      </c>
      <c r="C10" s="95">
        <v>0</v>
      </c>
      <c r="D10" s="99" t="s">
        <v>4759</v>
      </c>
      <c r="E10" s="96"/>
      <c r="F10" s="96"/>
      <c r="G10" s="96"/>
    </row>
    <row r="11" spans="1:7">
      <c r="A11" s="99" t="s">
        <v>4821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4841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4842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4876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4857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4759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4881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4884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4887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4895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4895</v>
      </c>
      <c r="B22" s="95">
        <v>9600</v>
      </c>
      <c r="C22" s="95">
        <v>0</v>
      </c>
      <c r="D22" s="99" t="s">
        <v>4759</v>
      </c>
      <c r="E22" s="96"/>
      <c r="F22" s="96"/>
      <c r="G22" s="96"/>
      <c r="I22" t="s">
        <v>25</v>
      </c>
    </row>
    <row r="23" spans="1:9">
      <c r="A23" s="99" t="s">
        <v>4902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4910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4921</v>
      </c>
      <c r="B25" s="95">
        <v>0</v>
      </c>
      <c r="C25" s="95">
        <v>1000</v>
      </c>
      <c r="D25" s="99" t="s">
        <v>315</v>
      </c>
    </row>
    <row r="26" spans="1:9">
      <c r="A26" s="99" t="s">
        <v>4964</v>
      </c>
      <c r="B26" s="95">
        <v>0</v>
      </c>
      <c r="C26" s="95">
        <v>12000</v>
      </c>
      <c r="D26" s="99" t="s">
        <v>4979</v>
      </c>
    </row>
    <row r="27" spans="1:9">
      <c r="A27" s="99" t="s">
        <v>4966</v>
      </c>
      <c r="B27" s="95">
        <v>0</v>
      </c>
      <c r="C27" s="95">
        <v>1000</v>
      </c>
      <c r="D27" s="99" t="s">
        <v>315</v>
      </c>
    </row>
    <row r="28" spans="1:9">
      <c r="A28" s="99" t="s">
        <v>4980</v>
      </c>
      <c r="B28" s="95">
        <v>0</v>
      </c>
      <c r="C28" s="95">
        <v>1000</v>
      </c>
      <c r="D28" s="99" t="s">
        <v>315</v>
      </c>
    </row>
    <row r="29" spans="1:9">
      <c r="A29" s="99" t="s">
        <v>4985</v>
      </c>
      <c r="B29" s="95">
        <v>0</v>
      </c>
      <c r="C29" s="95">
        <v>1000</v>
      </c>
      <c r="D29" s="99" t="s">
        <v>315</v>
      </c>
    </row>
    <row r="30" spans="1:9">
      <c r="A30" s="99" t="s">
        <v>4986</v>
      </c>
      <c r="B30" s="95">
        <v>0</v>
      </c>
      <c r="C30" s="95">
        <v>5500</v>
      </c>
      <c r="D30" s="99" t="s">
        <v>4760</v>
      </c>
    </row>
    <row r="31" spans="1:9">
      <c r="A31" s="99" t="s">
        <v>4986</v>
      </c>
      <c r="B31" s="95">
        <v>11000</v>
      </c>
      <c r="C31" s="95">
        <v>0</v>
      </c>
      <c r="D31" s="99" t="s">
        <v>4759</v>
      </c>
    </row>
    <row r="32" spans="1:9">
      <c r="A32" s="99" t="s">
        <v>4995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4999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5002</v>
      </c>
      <c r="B34" s="95">
        <v>0</v>
      </c>
      <c r="C34" s="95">
        <v>1000</v>
      </c>
      <c r="D34" s="99" t="s">
        <v>315</v>
      </c>
    </row>
    <row r="35" spans="1:10">
      <c r="A35" s="99" t="s">
        <v>5003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5008</v>
      </c>
      <c r="B36" s="95">
        <v>1000</v>
      </c>
      <c r="C36" s="95">
        <v>0</v>
      </c>
      <c r="D36" s="99" t="s">
        <v>315</v>
      </c>
    </row>
    <row r="37" spans="1:10">
      <c r="A37" s="99" t="s">
        <v>5008</v>
      </c>
      <c r="B37" s="95">
        <v>0</v>
      </c>
      <c r="C37" s="95">
        <v>11200</v>
      </c>
      <c r="D37" s="99" t="s">
        <v>4759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4790</v>
      </c>
      <c r="B48" s="226">
        <v>6700</v>
      </c>
      <c r="C48" s="226">
        <v>0</v>
      </c>
      <c r="D48" s="23" t="s">
        <v>4793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4762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4772</v>
      </c>
      <c r="B75" s="113">
        <v>-20000</v>
      </c>
      <c r="C75" s="99" t="s">
        <v>4780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pane ySplit="1" topLeftCell="A262" activePane="bottomLeft" state="frozen"/>
      <selection pane="bottomLeft" activeCell="C279" sqref="C27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4637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5029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5029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5052</v>
      </c>
      <c r="B276" s="113">
        <v>-104671</v>
      </c>
      <c r="C276" s="99">
        <v>1</v>
      </c>
      <c r="D276" s="99">
        <f t="shared" ref="D276:D287" si="11">D277+C276</f>
        <v>3</v>
      </c>
      <c r="E276" s="99">
        <f t="shared" ref="E276:E287" si="12">IF(B277&gt;0,1,0)</f>
        <v>0</v>
      </c>
      <c r="F276" s="99">
        <f t="shared" ref="F276:F287" si="13">B277*(D276-E276)</f>
        <v>-816000</v>
      </c>
      <c r="G276" s="99"/>
    </row>
    <row r="277" spans="1:11">
      <c r="A277" s="99" t="s">
        <v>5054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5056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0</v>
      </c>
      <c r="G278" s="99"/>
    </row>
    <row r="279" spans="1:11">
      <c r="A279" s="99"/>
      <c r="B279" s="113"/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/>
      <c r="B280" s="113"/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/>
      <c r="B281" s="113"/>
      <c r="C281" s="99"/>
      <c r="D281" s="99">
        <f t="shared" si="11"/>
        <v>0</v>
      </c>
      <c r="E281" s="99">
        <f t="shared" si="12"/>
        <v>0</v>
      </c>
      <c r="F281" s="99">
        <f t="shared" si="13"/>
        <v>0</v>
      </c>
      <c r="G281" s="99"/>
      <c r="J281" t="s">
        <v>25</v>
      </c>
    </row>
    <row r="282" spans="1:11">
      <c r="A282" s="99"/>
      <c r="B282" s="113"/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/>
      <c r="B283" s="113"/>
      <c r="C283" s="99"/>
      <c r="D283" s="99">
        <f t="shared" si="11"/>
        <v>0</v>
      </c>
      <c r="E283" s="99">
        <f t="shared" si="12"/>
        <v>0</v>
      </c>
      <c r="F283" s="99">
        <f t="shared" si="13"/>
        <v>0</v>
      </c>
      <c r="G283" s="99"/>
    </row>
    <row r="284" spans="1:11">
      <c r="A284" s="99"/>
      <c r="B284" s="113"/>
      <c r="C284" s="99"/>
      <c r="D284" s="99">
        <f t="shared" si="11"/>
        <v>0</v>
      </c>
      <c r="E284" s="99">
        <f t="shared" si="12"/>
        <v>0</v>
      </c>
      <c r="F284" s="99">
        <f t="shared" si="13"/>
        <v>0</v>
      </c>
      <c r="G284" s="99"/>
    </row>
    <row r="285" spans="1:11">
      <c r="A285" s="99"/>
      <c r="B285" s="113"/>
      <c r="C285" s="99"/>
      <c r="D285" s="99">
        <f t="shared" si="11"/>
        <v>0</v>
      </c>
      <c r="E285" s="99">
        <f t="shared" si="12"/>
        <v>0</v>
      </c>
      <c r="F285" s="99">
        <f t="shared" si="13"/>
        <v>0</v>
      </c>
      <c r="G285" s="99"/>
      <c r="K285" t="s">
        <v>25</v>
      </c>
    </row>
    <row r="286" spans="1:11">
      <c r="A286" s="99"/>
      <c r="B286" s="113"/>
      <c r="C286" s="99"/>
      <c r="D286" s="99">
        <f t="shared" si="11"/>
        <v>0</v>
      </c>
      <c r="E286" s="99">
        <f t="shared" si="12"/>
        <v>0</v>
      </c>
      <c r="F286" s="99">
        <f t="shared" si="13"/>
        <v>0</v>
      </c>
      <c r="G286" s="99"/>
    </row>
    <row r="287" spans="1:11">
      <c r="A287" s="11"/>
      <c r="B287" s="3">
        <v>0</v>
      </c>
      <c r="C287" s="11">
        <v>0</v>
      </c>
      <c r="D287" s="99">
        <f t="shared" si="11"/>
        <v>0</v>
      </c>
      <c r="E287" s="99">
        <f t="shared" si="12"/>
        <v>0</v>
      </c>
      <c r="F287" s="99">
        <f t="shared" si="13"/>
        <v>0</v>
      </c>
      <c r="G287" s="11"/>
    </row>
    <row r="288" spans="1:11">
      <c r="A288" s="11"/>
      <c r="B288" s="3"/>
      <c r="C288" s="11"/>
      <c r="D288" s="99"/>
      <c r="E288" s="99"/>
      <c r="F288" s="99"/>
      <c r="G288" s="11"/>
    </row>
    <row r="289" spans="1:7">
      <c r="A289" s="11"/>
      <c r="B289" s="29">
        <f>SUM(B2:B287)</f>
        <v>390976</v>
      </c>
      <c r="C289" s="11"/>
      <c r="D289" s="11"/>
      <c r="E289" s="11"/>
      <c r="F289" s="29">
        <f>SUM(F2:F287)</f>
        <v>19234486096</v>
      </c>
      <c r="G289" s="11"/>
    </row>
    <row r="290" spans="1:7">
      <c r="A290" s="11"/>
      <c r="B290" s="11" t="s">
        <v>6</v>
      </c>
      <c r="C290" s="11"/>
      <c r="D290" s="11"/>
      <c r="E290" s="11"/>
      <c r="F290" s="11" t="s">
        <v>284</v>
      </c>
      <c r="G290" s="11"/>
    </row>
    <row r="291" spans="1:7">
      <c r="A291" s="11"/>
      <c r="B291" s="11"/>
      <c r="C291" s="11"/>
      <c r="D291" s="11"/>
      <c r="E291" s="11"/>
      <c r="F291" s="11"/>
      <c r="G291" s="11"/>
    </row>
    <row r="292" spans="1:7">
      <c r="A292" s="11"/>
      <c r="B292" s="11"/>
      <c r="C292" s="11"/>
      <c r="D292" s="11"/>
      <c r="E292" s="11"/>
      <c r="F292" s="3">
        <f>F289/D2</f>
        <v>18111568.828625236</v>
      </c>
      <c r="G292" s="11"/>
    </row>
    <row r="293" spans="1:7">
      <c r="A293" s="11"/>
      <c r="B293" s="11"/>
      <c r="C293" s="11"/>
      <c r="D293" s="11"/>
      <c r="E293" s="11"/>
      <c r="F293" s="11" t="s">
        <v>286</v>
      </c>
      <c r="G293" s="11"/>
    </row>
    <row r="298" spans="1:7">
      <c r="D298" t="s">
        <v>25</v>
      </c>
    </row>
    <row r="299" spans="1:7">
      <c r="B299" s="7"/>
    </row>
    <row r="301" spans="1:7" ht="75">
      <c r="E301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4789</v>
      </c>
      <c r="L15">
        <v>451474</v>
      </c>
      <c r="M15" s="249" t="s">
        <v>5004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4934</v>
      </c>
      <c r="B193" s="38">
        <v>-25000</v>
      </c>
      <c r="C193" s="11" t="s">
        <v>4944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3"/>
  <sheetViews>
    <sheetView topLeftCell="M85" zoomScaleNormal="100" workbookViewId="0">
      <selection activeCell="U171" sqref="U17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4869</v>
      </c>
      <c r="AT10" s="73" t="s">
        <v>4872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4895</v>
      </c>
      <c r="AT11" s="73" t="s">
        <v>4896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4966</v>
      </c>
      <c r="AT12" s="73" t="s">
        <v>4967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ایلیا'!B289</f>
        <v>390976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4968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208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S92</f>
        <v>220</v>
      </c>
      <c r="T20" s="168" t="s">
        <v>4309</v>
      </c>
      <c r="U20" s="168">
        <v>192.1</v>
      </c>
      <c r="V20" s="168">
        <f t="shared" ref="V20:V56" si="6">U20*(1+$N$89+$Q$15*S20/36500)</f>
        <v>226.67168438356165</v>
      </c>
      <c r="W20" s="32">
        <f t="shared" ref="W20:W33" si="7">V20*(1+$W$19/100)</f>
        <v>231.2051180712329</v>
      </c>
      <c r="X20" s="32">
        <f t="shared" ref="X20:X33" si="8">V20*(1+$X$19/100)</f>
        <v>235.73855175890412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551396093.9099859</v>
      </c>
      <c r="M21" s="168" t="s">
        <v>4301</v>
      </c>
      <c r="N21" s="113">
        <f t="shared" ref="N21:N26" si="9">O21*P21</f>
        <v>19227447.899999999</v>
      </c>
      <c r="O21" s="99">
        <v>87917</v>
      </c>
      <c r="P21" s="186">
        <f>P57</f>
        <v>218.7</v>
      </c>
      <c r="Q21" s="169">
        <v>595156</v>
      </c>
      <c r="R21" s="168" t="s">
        <v>4393</v>
      </c>
      <c r="S21" s="193">
        <f>S20-52</f>
        <v>168</v>
      </c>
      <c r="T21" s="168" t="s">
        <v>4396</v>
      </c>
      <c r="U21" s="168">
        <v>5808.5</v>
      </c>
      <c r="V21" s="168">
        <f t="shared" si="6"/>
        <v>6622.1355835616441</v>
      </c>
      <c r="W21" s="32">
        <f t="shared" si="7"/>
        <v>6754.5782952328773</v>
      </c>
      <c r="X21" s="32">
        <f t="shared" si="8"/>
        <v>6887.0210069041104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105934647.7</v>
      </c>
      <c r="O22" s="99">
        <v>25637</v>
      </c>
      <c r="P22" s="186">
        <f>P46</f>
        <v>4132.1000000000004</v>
      </c>
      <c r="Q22" s="169">
        <v>1484689</v>
      </c>
      <c r="R22" s="168" t="s">
        <v>4430</v>
      </c>
      <c r="S22" s="168">
        <f>S21-7</f>
        <v>161</v>
      </c>
      <c r="T22" s="19" t="s">
        <v>4433</v>
      </c>
      <c r="U22" s="168">
        <v>5474</v>
      </c>
      <c r="V22" s="168">
        <f t="shared" si="6"/>
        <v>6211.3852931506854</v>
      </c>
      <c r="W22" s="32">
        <f t="shared" si="7"/>
        <v>6335.6129990136988</v>
      </c>
      <c r="X22" s="32">
        <f t="shared" si="8"/>
        <v>6459.8407048767131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1322080.8</v>
      </c>
      <c r="O23" s="99">
        <v>8808</v>
      </c>
      <c r="P23" s="186">
        <f>P48</f>
        <v>150.1</v>
      </c>
      <c r="Q23" s="169">
        <v>2197673</v>
      </c>
      <c r="R23" s="168" t="s">
        <v>4430</v>
      </c>
      <c r="S23" s="168">
        <f>S22</f>
        <v>161</v>
      </c>
      <c r="T23" s="19" t="s">
        <v>4434</v>
      </c>
      <c r="U23" s="168">
        <v>5349</v>
      </c>
      <c r="V23" s="168">
        <f t="shared" si="6"/>
        <v>6069.5469369863013</v>
      </c>
      <c r="W23" s="32">
        <f>V23*(1+$W$19/100)</f>
        <v>6190.9378757260274</v>
      </c>
      <c r="X23" s="32">
        <f t="shared" si="8"/>
        <v>6312.3288144657536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L69</f>
        <v>505250718.9099859</v>
      </c>
      <c r="G24" s="95">
        <f t="shared" si="0"/>
        <v>-224944373.52804726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110444613.39999999</v>
      </c>
      <c r="O24" s="99">
        <v>154706</v>
      </c>
      <c r="P24" s="186">
        <f>P51</f>
        <v>713.9</v>
      </c>
      <c r="Q24" s="169">
        <v>1353959</v>
      </c>
      <c r="R24" s="168" t="s">
        <v>4430</v>
      </c>
      <c r="S24" s="199">
        <f>S23</f>
        <v>161</v>
      </c>
      <c r="T24" s="19" t="s">
        <v>4476</v>
      </c>
      <c r="U24" s="168">
        <v>192.2</v>
      </c>
      <c r="V24" s="168">
        <f t="shared" si="6"/>
        <v>218.09065643835615</v>
      </c>
      <c r="W24" s="32">
        <f t="shared" si="7"/>
        <v>222.45246956712327</v>
      </c>
      <c r="X24" s="32">
        <f t="shared" si="8"/>
        <v>226.8142826958904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100674332.10000001</v>
      </c>
      <c r="O25" s="99">
        <v>20491</v>
      </c>
      <c r="P25" s="186">
        <f>P52</f>
        <v>4913.1000000000004</v>
      </c>
      <c r="Q25" s="169">
        <v>1614398</v>
      </c>
      <c r="R25" s="168" t="s">
        <v>4438</v>
      </c>
      <c r="S25" s="168">
        <f>S24-3</f>
        <v>158</v>
      </c>
      <c r="T25" s="19" t="s">
        <v>4509</v>
      </c>
      <c r="U25" s="168">
        <v>184.6</v>
      </c>
      <c r="V25" s="168">
        <f t="shared" si="6"/>
        <v>209.0420515068493</v>
      </c>
      <c r="W25" s="32">
        <f t="shared" si="7"/>
        <v>213.22289253698631</v>
      </c>
      <c r="X25" s="32">
        <f t="shared" si="8"/>
        <v>217.40373356712328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11582573.6</v>
      </c>
      <c r="O26" s="99">
        <v>1828</v>
      </c>
      <c r="P26" s="99">
        <f>P50</f>
        <v>6336.2</v>
      </c>
      <c r="Q26" s="169">
        <v>133576</v>
      </c>
      <c r="R26" s="168" t="s">
        <v>4516</v>
      </c>
      <c r="S26" s="198">
        <f>S25-22</f>
        <v>136</v>
      </c>
      <c r="T26" s="168" t="s">
        <v>4517</v>
      </c>
      <c r="U26" s="168">
        <v>166.2</v>
      </c>
      <c r="V26" s="168">
        <f t="shared" si="6"/>
        <v>185.40088109589044</v>
      </c>
      <c r="W26" s="32">
        <f t="shared" si="7"/>
        <v>189.10889871780824</v>
      </c>
      <c r="X26" s="32">
        <f t="shared" si="8"/>
        <v>192.81691633972608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135</v>
      </c>
      <c r="T27" s="168" t="s">
        <v>4523</v>
      </c>
      <c r="U27" s="168">
        <v>166</v>
      </c>
      <c r="V27" s="168">
        <f t="shared" si="6"/>
        <v>185.05043287671234</v>
      </c>
      <c r="W27" s="32">
        <f t="shared" si="7"/>
        <v>188.7514415342466</v>
      </c>
      <c r="X27" s="32">
        <f t="shared" si="8"/>
        <v>192.45245019178083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4531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133</v>
      </c>
      <c r="T28" s="168" t="s">
        <v>4530</v>
      </c>
      <c r="U28" s="168">
        <v>160.19999999999999</v>
      </c>
      <c r="V28" s="168">
        <f t="shared" si="6"/>
        <v>178.33902904109587</v>
      </c>
      <c r="W28" s="32">
        <f t="shared" si="7"/>
        <v>181.9058096219178</v>
      </c>
      <c r="X28" s="32">
        <f t="shared" si="8"/>
        <v>185.47259020273972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6634001.3999999994</v>
      </c>
      <c r="O29" s="69">
        <v>1047</v>
      </c>
      <c r="P29" s="99">
        <f>P50</f>
        <v>6336.2</v>
      </c>
      <c r="Q29" s="169">
        <v>168846</v>
      </c>
      <c r="R29" s="168" t="s">
        <v>3691</v>
      </c>
      <c r="S29" s="198">
        <f>S28-28</f>
        <v>105</v>
      </c>
      <c r="T29" s="168" t="s">
        <v>4622</v>
      </c>
      <c r="U29" s="168">
        <v>172.2</v>
      </c>
      <c r="V29" s="168">
        <f t="shared" si="6"/>
        <v>187.99899616438356</v>
      </c>
      <c r="W29" s="32">
        <f t="shared" si="7"/>
        <v>191.75897608767124</v>
      </c>
      <c r="X29" s="32">
        <f t="shared" si="8"/>
        <v>195.5189560109589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5185785.5</v>
      </c>
      <c r="O30" s="69">
        <v>1255</v>
      </c>
      <c r="P30" s="99">
        <f>P46</f>
        <v>4132.1000000000004</v>
      </c>
      <c r="Q30" s="169">
        <v>250962</v>
      </c>
      <c r="R30" s="168" t="s">
        <v>4664</v>
      </c>
      <c r="S30" s="198">
        <f>S29-10</f>
        <v>95</v>
      </c>
      <c r="T30" s="168" t="s">
        <v>4665</v>
      </c>
      <c r="U30" s="168">
        <v>5315.5</v>
      </c>
      <c r="V30" s="168">
        <f t="shared" si="6"/>
        <v>5762.4097643835612</v>
      </c>
      <c r="W30" s="32">
        <f t="shared" si="7"/>
        <v>5877.6579596712327</v>
      </c>
      <c r="X30" s="32">
        <f t="shared" si="8"/>
        <v>5992.9061549589042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687485.7</v>
      </c>
      <c r="O31" s="69">
        <v>963</v>
      </c>
      <c r="P31" s="99">
        <f>P51</f>
        <v>713.9</v>
      </c>
      <c r="Q31" s="169">
        <v>350718</v>
      </c>
      <c r="R31" s="215" t="s">
        <v>4712</v>
      </c>
      <c r="S31" s="198">
        <f>S30-7</f>
        <v>88</v>
      </c>
      <c r="T31" s="215" t="s">
        <v>4713</v>
      </c>
      <c r="U31" s="215">
        <v>502.3</v>
      </c>
      <c r="V31" s="215">
        <f t="shared" si="6"/>
        <v>541.83445041095899</v>
      </c>
      <c r="W31" s="32">
        <f t="shared" si="7"/>
        <v>552.67113941917819</v>
      </c>
      <c r="X31" s="32">
        <f t="shared" si="8"/>
        <v>563.50782842739738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712399.5</v>
      </c>
      <c r="O32" s="69">
        <v>145</v>
      </c>
      <c r="P32" s="99">
        <f>P52</f>
        <v>4913.1000000000004</v>
      </c>
      <c r="Q32" s="169">
        <v>17953742</v>
      </c>
      <c r="R32" s="215" t="s">
        <v>3684</v>
      </c>
      <c r="S32" s="198">
        <f>S31-15</f>
        <v>73</v>
      </c>
      <c r="T32" s="215" t="s">
        <v>4761</v>
      </c>
      <c r="U32" s="215">
        <v>486.4</v>
      </c>
      <c r="V32" s="215">
        <f t="shared" si="6"/>
        <v>519.08608000000004</v>
      </c>
      <c r="W32" s="32">
        <f t="shared" si="7"/>
        <v>529.46780160000003</v>
      </c>
      <c r="X32" s="32">
        <f t="shared" si="8"/>
        <v>539.84952320000002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28681848.899999999</v>
      </c>
      <c r="O33" s="69">
        <v>131147</v>
      </c>
      <c r="P33" s="99">
        <f>P57</f>
        <v>218.7</v>
      </c>
      <c r="Q33" s="169">
        <v>9566181</v>
      </c>
      <c r="R33" s="215" t="s">
        <v>4762</v>
      </c>
      <c r="S33" s="198">
        <f>S32-1</f>
        <v>72</v>
      </c>
      <c r="T33" s="215" t="s">
        <v>4763</v>
      </c>
      <c r="U33" s="215">
        <v>476.1</v>
      </c>
      <c r="V33" s="215">
        <f t="shared" si="6"/>
        <v>507.72869260273978</v>
      </c>
      <c r="W33" s="32">
        <f t="shared" si="7"/>
        <v>517.88326645479458</v>
      </c>
      <c r="X33" s="32">
        <f t="shared" si="8"/>
        <v>528.03784030684938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4762</v>
      </c>
      <c r="S34" s="198">
        <f>S33</f>
        <v>72</v>
      </c>
      <c r="T34" s="215" t="s">
        <v>4764</v>
      </c>
      <c r="U34" s="215">
        <v>3095</v>
      </c>
      <c r="V34" s="215">
        <f t="shared" si="6"/>
        <v>3300.6097534246574</v>
      </c>
      <c r="W34" s="32">
        <f t="shared" ref="W34:W56" si="14">V34*(1+$W$19/100)</f>
        <v>3366.6219484931507</v>
      </c>
      <c r="X34" s="32">
        <f t="shared" ref="X34:X56" si="15">V34*(1+$X$19/100)</f>
        <v>3432.6341435616437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4762</v>
      </c>
      <c r="S35" s="198">
        <f>S34</f>
        <v>72</v>
      </c>
      <c r="T35" s="215" t="s">
        <v>4765</v>
      </c>
      <c r="U35" s="215">
        <v>168.8</v>
      </c>
      <c r="V35" s="215">
        <f t="shared" si="6"/>
        <v>180.01386958904112</v>
      </c>
      <c r="W35" s="32">
        <f t="shared" si="14"/>
        <v>183.61414698082194</v>
      </c>
      <c r="X35" s="32">
        <f t="shared" si="15"/>
        <v>187.21442437260276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-S183</f>
        <v>-551396093.9099859</v>
      </c>
      <c r="O36" s="96" t="s">
        <v>25</v>
      </c>
      <c r="P36" s="96" t="s">
        <v>25</v>
      </c>
      <c r="Q36" s="169">
        <v>5021554</v>
      </c>
      <c r="R36" s="215" t="s">
        <v>4762</v>
      </c>
      <c r="S36" s="198">
        <f>S35</f>
        <v>72</v>
      </c>
      <c r="T36" s="215" t="s">
        <v>4766</v>
      </c>
      <c r="U36" s="215">
        <v>3859.8</v>
      </c>
      <c r="V36" s="215">
        <f t="shared" si="6"/>
        <v>4116.2176175342465</v>
      </c>
      <c r="W36" s="32">
        <f t="shared" si="14"/>
        <v>4198.5419698849319</v>
      </c>
      <c r="X36" s="32">
        <f t="shared" si="15"/>
        <v>4280.8663222356163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4772</v>
      </c>
      <c r="S37" s="198">
        <f>S36-1</f>
        <v>71</v>
      </c>
      <c r="T37" s="215" t="s">
        <v>4775</v>
      </c>
      <c r="U37" s="215">
        <v>3099.2</v>
      </c>
      <c r="V37" s="215">
        <f t="shared" si="6"/>
        <v>3302.7113030136989</v>
      </c>
      <c r="W37" s="32">
        <f t="shared" si="14"/>
        <v>3368.7655290739731</v>
      </c>
      <c r="X37" s="32">
        <f t="shared" si="15"/>
        <v>3434.8197551342469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فیزیکی'!M48*10*P58</f>
        <v>0</v>
      </c>
      <c r="M38" s="168" t="s">
        <v>760</v>
      </c>
      <c r="N38" s="113">
        <v>1200000</v>
      </c>
      <c r="P38" t="s">
        <v>25</v>
      </c>
      <c r="Q38" s="169">
        <v>13402013</v>
      </c>
      <c r="R38" s="215" t="s">
        <v>4772</v>
      </c>
      <c r="S38" s="198">
        <f>S37</f>
        <v>71</v>
      </c>
      <c r="T38" s="215" t="s">
        <v>4776</v>
      </c>
      <c r="U38" s="215">
        <v>3853.3</v>
      </c>
      <c r="V38" s="215">
        <f t="shared" si="6"/>
        <v>4106.3298476712334</v>
      </c>
      <c r="W38" s="32">
        <f t="shared" si="14"/>
        <v>4188.4564446246586</v>
      </c>
      <c r="X38" s="32">
        <f t="shared" si="15"/>
        <v>4270.5830415780829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4826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4781</v>
      </c>
      <c r="S39" s="198">
        <f>S38-1</f>
        <v>70</v>
      </c>
      <c r="T39" s="215" t="s">
        <v>4782</v>
      </c>
      <c r="U39" s="215">
        <v>3130</v>
      </c>
      <c r="V39" s="215">
        <f t="shared" si="6"/>
        <v>3333.1327123287679</v>
      </c>
      <c r="W39" s="32">
        <f t="shared" si="14"/>
        <v>3399.7953665753435</v>
      </c>
      <c r="X39" s="32">
        <f t="shared" si="15"/>
        <v>3466.4580208219186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فیزیکی'!M47+3)*10*P58</f>
        <v>15405000</v>
      </c>
      <c r="O40" s="96"/>
      <c r="P40" s="96" t="s">
        <v>25</v>
      </c>
      <c r="Q40" s="169">
        <v>3377001</v>
      </c>
      <c r="R40" s="215" t="s">
        <v>4790</v>
      </c>
      <c r="S40" s="198">
        <f>S39-4</f>
        <v>66</v>
      </c>
      <c r="T40" s="215" t="s">
        <v>4796</v>
      </c>
      <c r="U40" s="215">
        <v>3324.8</v>
      </c>
      <c r="V40" s="215">
        <f t="shared" si="6"/>
        <v>3530.3728394520554</v>
      </c>
      <c r="W40" s="32">
        <f t="shared" si="14"/>
        <v>3600.9802962410963</v>
      </c>
      <c r="X40" s="32">
        <f t="shared" si="15"/>
        <v>3671.5877530301377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4825</v>
      </c>
      <c r="N41" s="113">
        <v>-18000000</v>
      </c>
      <c r="O41" s="247" t="s">
        <v>25</v>
      </c>
      <c r="P41" s="114"/>
      <c r="Q41" s="169">
        <v>63610880</v>
      </c>
      <c r="R41" s="215" t="s">
        <v>4790</v>
      </c>
      <c r="S41" s="198">
        <f>S40</f>
        <v>66</v>
      </c>
      <c r="T41" s="215" t="s">
        <v>4794</v>
      </c>
      <c r="U41" s="215">
        <v>4176.3</v>
      </c>
      <c r="V41" s="215">
        <f t="shared" si="6"/>
        <v>4434.5212010958912</v>
      </c>
      <c r="W41" s="32">
        <f t="shared" si="14"/>
        <v>4523.2116251178095</v>
      </c>
      <c r="X41" s="32">
        <f t="shared" si="15"/>
        <v>4611.9020491397268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4827</v>
      </c>
      <c r="N42" s="113">
        <v>-47000000</v>
      </c>
      <c r="O42" s="96"/>
      <c r="P42" s="96" t="s">
        <v>25</v>
      </c>
      <c r="Q42" s="169">
        <v>15499033</v>
      </c>
      <c r="R42" s="215" t="s">
        <v>4790</v>
      </c>
      <c r="S42" s="198">
        <f>S41</f>
        <v>66</v>
      </c>
      <c r="T42" s="215" t="s">
        <v>4795</v>
      </c>
      <c r="U42" s="215">
        <v>525.1</v>
      </c>
      <c r="V42" s="215">
        <f t="shared" si="6"/>
        <v>557.56700493150697</v>
      </c>
      <c r="W42" s="32">
        <f t="shared" si="14"/>
        <v>568.71834503013713</v>
      </c>
      <c r="X42" s="32">
        <f t="shared" si="15"/>
        <v>579.86968512876729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168"/>
      <c r="N43" s="113"/>
      <c r="O43" s="96"/>
      <c r="P43" s="96" t="s">
        <v>25</v>
      </c>
      <c r="Q43" s="169">
        <v>30673673</v>
      </c>
      <c r="R43" s="215" t="s">
        <v>4800</v>
      </c>
      <c r="S43" s="198">
        <f>S42-1</f>
        <v>65</v>
      </c>
      <c r="T43" s="215" t="s">
        <v>4805</v>
      </c>
      <c r="U43" s="215">
        <v>529.79999999999995</v>
      </c>
      <c r="V43" s="215">
        <f t="shared" si="6"/>
        <v>562.15118465753426</v>
      </c>
      <c r="W43" s="32">
        <f t="shared" si="14"/>
        <v>573.39420835068495</v>
      </c>
      <c r="X43" s="32">
        <f t="shared" si="15"/>
        <v>584.63723204383564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5069</v>
      </c>
      <c r="L44" s="117">
        <v>-750000</v>
      </c>
      <c r="M44" s="168" t="s">
        <v>4459</v>
      </c>
      <c r="N44" s="113">
        <v>2773</v>
      </c>
      <c r="P44" t="s">
        <v>25</v>
      </c>
      <c r="Q44" s="169">
        <v>5420397</v>
      </c>
      <c r="R44" s="215" t="s">
        <v>4800</v>
      </c>
      <c r="S44" s="198">
        <f>S43</f>
        <v>65</v>
      </c>
      <c r="T44" s="215" t="s">
        <v>4806</v>
      </c>
      <c r="U44" s="215">
        <v>5395.9</v>
      </c>
      <c r="V44" s="215">
        <f t="shared" si="6"/>
        <v>5725.3899156164389</v>
      </c>
      <c r="W44" s="32">
        <f t="shared" si="14"/>
        <v>5839.8977139287681</v>
      </c>
      <c r="X44" s="32">
        <f t="shared" si="15"/>
        <v>5954.4055122410964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4800</v>
      </c>
      <c r="S45" s="198">
        <f>S44</f>
        <v>65</v>
      </c>
      <c r="T45" s="215" t="s">
        <v>4807</v>
      </c>
      <c r="U45" s="215">
        <v>3355.8</v>
      </c>
      <c r="V45" s="215">
        <f t="shared" si="6"/>
        <v>3560.715261369864</v>
      </c>
      <c r="W45" s="32">
        <f t="shared" si="14"/>
        <v>3631.9295665972613</v>
      </c>
      <c r="X45" s="32">
        <f t="shared" si="15"/>
        <v>3703.1438718246586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134557704.40000001</v>
      </c>
      <c r="O46" s="99">
        <v>32564</v>
      </c>
      <c r="P46" s="99">
        <v>4132.1000000000004</v>
      </c>
      <c r="Q46" s="169">
        <v>1018599</v>
      </c>
      <c r="R46" s="215" t="s">
        <v>4902</v>
      </c>
      <c r="S46" s="198">
        <f>S45-19</f>
        <v>46</v>
      </c>
      <c r="T46" s="215" t="s">
        <v>4904</v>
      </c>
      <c r="U46" s="215">
        <v>4155.3</v>
      </c>
      <c r="V46" s="215">
        <f t="shared" si="6"/>
        <v>4348.4702202739727</v>
      </c>
      <c r="W46" s="32">
        <f t="shared" si="14"/>
        <v>4435.4396246794522</v>
      </c>
      <c r="X46" s="32">
        <f t="shared" si="15"/>
        <v>4522.4090290849317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8" si="16">O47*P47</f>
        <v>940400</v>
      </c>
      <c r="O47" s="69">
        <v>2000</v>
      </c>
      <c r="P47" s="69">
        <v>470.2</v>
      </c>
      <c r="Q47" s="169">
        <v>1001132</v>
      </c>
      <c r="R47" s="215" t="s">
        <v>4902</v>
      </c>
      <c r="S47" s="198">
        <f>S46</f>
        <v>46</v>
      </c>
      <c r="T47" s="215" t="s">
        <v>4905</v>
      </c>
      <c r="U47" s="215">
        <v>113.1</v>
      </c>
      <c r="V47" s="215">
        <f t="shared" si="6"/>
        <v>118.35775561643835</v>
      </c>
      <c r="W47" s="32">
        <f t="shared" si="14"/>
        <v>120.72491072876713</v>
      </c>
      <c r="X47" s="32">
        <f t="shared" si="15"/>
        <v>123.09206584109589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133288.79999999999</v>
      </c>
      <c r="O48" s="69">
        <v>888</v>
      </c>
      <c r="P48" s="69">
        <v>150.1</v>
      </c>
      <c r="Q48" s="169">
        <v>5809833</v>
      </c>
      <c r="R48" s="215" t="s">
        <v>4921</v>
      </c>
      <c r="S48" s="198">
        <f>S47-2</f>
        <v>44</v>
      </c>
      <c r="T48" s="215" t="s">
        <v>4925</v>
      </c>
      <c r="U48" s="215">
        <v>587.29999999999995</v>
      </c>
      <c r="V48" s="215">
        <f t="shared" si="6"/>
        <v>613.70114630136982</v>
      </c>
      <c r="W48" s="32">
        <f t="shared" si="14"/>
        <v>625.97516922739726</v>
      </c>
      <c r="X48" s="32">
        <f t="shared" si="15"/>
        <v>638.24919215342459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70125</v>
      </c>
      <c r="O49" s="69">
        <v>50</v>
      </c>
      <c r="P49" s="69">
        <v>1402.5</v>
      </c>
      <c r="Q49" s="169">
        <v>22263826</v>
      </c>
      <c r="R49" s="215" t="s">
        <v>4921</v>
      </c>
      <c r="S49" s="198">
        <f>S48</f>
        <v>44</v>
      </c>
      <c r="T49" s="215" t="s">
        <v>4926</v>
      </c>
      <c r="U49" s="215">
        <v>3560</v>
      </c>
      <c r="V49" s="215">
        <f t="shared" si="6"/>
        <v>3720.0341917808219</v>
      </c>
      <c r="W49" s="32">
        <f t="shared" si="14"/>
        <v>3794.4348756164381</v>
      </c>
      <c r="X49" s="32">
        <f t="shared" si="15"/>
        <v>3868.8355594520549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210602615.59999999</v>
      </c>
      <c r="O50" s="69">
        <v>33238</v>
      </c>
      <c r="P50" s="69">
        <v>6336.2</v>
      </c>
      <c r="Q50" s="169">
        <v>112288</v>
      </c>
      <c r="R50" s="215" t="s">
        <v>981</v>
      </c>
      <c r="S50" s="198">
        <f>S49-1</f>
        <v>43</v>
      </c>
      <c r="T50" s="215" t="s">
        <v>4929</v>
      </c>
      <c r="U50" s="215">
        <v>3605.5</v>
      </c>
      <c r="V50" s="215">
        <f t="shared" si="6"/>
        <v>3764.8137095890415</v>
      </c>
      <c r="W50" s="32">
        <f t="shared" si="14"/>
        <v>3840.1099837808224</v>
      </c>
      <c r="X50" s="32">
        <f t="shared" si="15"/>
        <v>3915.4062579726033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76269506.5</v>
      </c>
      <c r="O51" s="69">
        <v>106835</v>
      </c>
      <c r="P51" s="69">
        <v>713.9</v>
      </c>
      <c r="Q51" s="169">
        <v>931614</v>
      </c>
      <c r="R51" s="215" t="s">
        <v>4935</v>
      </c>
      <c r="S51" s="198">
        <f>S50-8</f>
        <v>35</v>
      </c>
      <c r="T51" s="215" t="s">
        <v>4937</v>
      </c>
      <c r="U51" s="215">
        <v>4437</v>
      </c>
      <c r="V51" s="215">
        <f t="shared" si="6"/>
        <v>4605.8248109589049</v>
      </c>
      <c r="W51" s="32">
        <f t="shared" si="14"/>
        <v>4697.9413071780828</v>
      </c>
      <c r="X51" s="32">
        <f t="shared" si="15"/>
        <v>4790.0578033972615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40189158</v>
      </c>
      <c r="O52" s="69">
        <v>8180</v>
      </c>
      <c r="P52" s="69">
        <v>4913.1000000000004</v>
      </c>
      <c r="Q52" s="169">
        <v>533965</v>
      </c>
      <c r="R52" s="215" t="s">
        <v>4980</v>
      </c>
      <c r="S52" s="198">
        <f>S51-12</f>
        <v>23</v>
      </c>
      <c r="T52" s="215" t="s">
        <v>4981</v>
      </c>
      <c r="U52" s="215">
        <v>4429.2</v>
      </c>
      <c r="V52" s="215">
        <f t="shared" si="6"/>
        <v>4556.9551167123291</v>
      </c>
      <c r="W52" s="32">
        <f t="shared" si="14"/>
        <v>4648.0942190465757</v>
      </c>
      <c r="X52" s="32">
        <f t="shared" si="15"/>
        <v>4739.2333213808224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16560987.6</v>
      </c>
      <c r="O53" s="69">
        <v>2913</v>
      </c>
      <c r="P53" s="69">
        <v>5685.2</v>
      </c>
      <c r="Q53" s="169">
        <v>164707</v>
      </c>
      <c r="R53" s="215" t="s">
        <v>4995</v>
      </c>
      <c r="S53" s="198">
        <f>S52-6</f>
        <v>17</v>
      </c>
      <c r="T53" s="215" t="s">
        <v>4996</v>
      </c>
      <c r="U53" s="215">
        <v>633</v>
      </c>
      <c r="V53" s="215">
        <f t="shared" si="6"/>
        <v>648.34461369863027</v>
      </c>
      <c r="W53" s="32">
        <f t="shared" si="14"/>
        <v>661.31150597260284</v>
      </c>
      <c r="X53" s="32">
        <f t="shared" si="15"/>
        <v>674.27839824657553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5007180</v>
      </c>
      <c r="O54" s="69">
        <v>5100</v>
      </c>
      <c r="P54" s="69">
        <v>981.8</v>
      </c>
      <c r="Q54" s="169">
        <v>466781</v>
      </c>
      <c r="R54" s="215" t="s">
        <v>5058</v>
      </c>
      <c r="S54" s="198">
        <f>S53-16</f>
        <v>1</v>
      </c>
      <c r="T54" s="215" t="s">
        <v>5059</v>
      </c>
      <c r="U54" s="215">
        <v>4005.4</v>
      </c>
      <c r="V54" s="215">
        <f t="shared" si="6"/>
        <v>4053.3331156164386</v>
      </c>
      <c r="W54" s="32">
        <f t="shared" si="14"/>
        <v>4134.3997779287674</v>
      </c>
      <c r="X54" s="32">
        <f t="shared" si="15"/>
        <v>4215.4664402410963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 t="s">
        <v>25</v>
      </c>
      <c r="L55" s="117"/>
      <c r="M55" s="21" t="s">
        <v>4296</v>
      </c>
      <c r="N55" s="117">
        <f>O55*P55</f>
        <v>2791803</v>
      </c>
      <c r="O55" s="69">
        <v>6997</v>
      </c>
      <c r="P55" s="69">
        <v>399</v>
      </c>
      <c r="Q55" s="169">
        <v>1204691</v>
      </c>
      <c r="R55" s="215" t="s">
        <v>5065</v>
      </c>
      <c r="S55" s="198">
        <f>S54-4</f>
        <v>-3</v>
      </c>
      <c r="T55" s="215" t="s">
        <v>5066</v>
      </c>
      <c r="U55" s="215">
        <v>218.5</v>
      </c>
      <c r="V55" s="215">
        <f t="shared" si="6"/>
        <v>220.44435068493155</v>
      </c>
      <c r="W55" s="32">
        <f t="shared" si="14"/>
        <v>224.85323769863018</v>
      </c>
      <c r="X55" s="32">
        <f t="shared" si="15"/>
        <v>229.26212471232881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289296</v>
      </c>
      <c r="O56" s="69">
        <v>1148</v>
      </c>
      <c r="P56" s="69">
        <v>252</v>
      </c>
      <c r="Q56" s="169"/>
      <c r="R56" s="168"/>
      <c r="S56" s="168"/>
      <c r="T56" s="168"/>
      <c r="U56" s="168"/>
      <c r="V56" s="215">
        <f t="shared" si="6"/>
        <v>0</v>
      </c>
      <c r="W56" s="32">
        <f t="shared" si="14"/>
        <v>0</v>
      </c>
      <c r="X56" s="32">
        <f t="shared" si="15"/>
        <v>0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56"/>
      <c r="L57" s="117"/>
      <c r="M57" s="19" t="s">
        <v>4179</v>
      </c>
      <c r="N57" s="113">
        <f t="shared" si="16"/>
        <v>284978565.89999998</v>
      </c>
      <c r="O57" s="99">
        <v>1303057</v>
      </c>
      <c r="P57" s="99">
        <v>218.7</v>
      </c>
      <c r="Q57" s="169">
        <f>SUM(N21:N26)-SUM(Q20:Q56)</f>
        <v>71167106.5</v>
      </c>
      <c r="R57" s="168"/>
      <c r="S57" s="168" t="s">
        <v>25</v>
      </c>
      <c r="T57" s="168"/>
      <c r="U57" s="168"/>
      <c r="V57" s="168"/>
      <c r="W57" s="32"/>
      <c r="X57" s="32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21" t="s">
        <v>1086</v>
      </c>
      <c r="N58" s="117">
        <f t="shared" si="16"/>
        <v>0</v>
      </c>
      <c r="O58" s="69">
        <v>0</v>
      </c>
      <c r="P58" s="69">
        <v>513500</v>
      </c>
      <c r="R58" s="115"/>
      <c r="S58" s="115" t="s">
        <v>25</v>
      </c>
      <c r="T58" s="115"/>
      <c r="U58" s="115"/>
      <c r="V58" s="115"/>
      <c r="W58" s="195"/>
      <c r="X58" s="195"/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73"/>
      <c r="N59" s="117"/>
      <c r="O59" s="122"/>
      <c r="P59" s="122"/>
      <c r="Q59" s="96"/>
      <c r="R59" s="115"/>
      <c r="S59" s="115"/>
      <c r="T59" s="115" t="s">
        <v>25</v>
      </c>
      <c r="U59" s="115"/>
      <c r="V59" s="115"/>
      <c r="W59" s="195"/>
      <c r="X59" s="195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68" t="s">
        <v>1152</v>
      </c>
      <c r="N60" s="117">
        <v>14908</v>
      </c>
      <c r="O60" s="96"/>
      <c r="P60" t="s">
        <v>25</v>
      </c>
      <c r="Q60" s="168" t="s">
        <v>657</v>
      </c>
      <c r="R60" s="168"/>
      <c r="S60" s="168"/>
      <c r="T60" s="168"/>
      <c r="U60" s="168"/>
      <c r="V60" s="168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 ht="3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99"/>
      <c r="M61" s="168" t="s">
        <v>1153</v>
      </c>
      <c r="N61" s="117">
        <v>5282</v>
      </c>
      <c r="O61" s="96"/>
      <c r="P61" t="s">
        <v>25</v>
      </c>
      <c r="Q61" s="168" t="s">
        <v>267</v>
      </c>
      <c r="R61" s="168" t="s">
        <v>180</v>
      </c>
      <c r="S61" s="168" t="s">
        <v>183</v>
      </c>
      <c r="T61" s="168" t="s">
        <v>8</v>
      </c>
      <c r="U61" s="168" t="s">
        <v>4363</v>
      </c>
      <c r="V61" s="73" t="s">
        <v>4365</v>
      </c>
      <c r="W61" s="32">
        <v>2</v>
      </c>
      <c r="X61" s="32">
        <v>4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O62" s="115"/>
      <c r="P62" s="115"/>
      <c r="Q62" s="168">
        <v>0</v>
      </c>
      <c r="R62" s="168" t="s">
        <v>4172</v>
      </c>
      <c r="S62" s="168">
        <f>S92</f>
        <v>220</v>
      </c>
      <c r="T62" s="168"/>
      <c r="U62" s="168"/>
      <c r="V62" s="73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168" t="s">
        <v>25</v>
      </c>
      <c r="L63" s="117"/>
      <c r="M63" s="168" t="s">
        <v>4180</v>
      </c>
      <c r="N63" s="113">
        <f>-O63*P63</f>
        <v>-11742877.799999999</v>
      </c>
      <c r="O63" s="99">
        <v>53694</v>
      </c>
      <c r="P63" s="99">
        <f>P57</f>
        <v>218.7</v>
      </c>
      <c r="Q63" s="169">
        <v>863944</v>
      </c>
      <c r="R63" s="168" t="s">
        <v>4438</v>
      </c>
      <c r="S63" s="168">
        <f>S62-62</f>
        <v>158</v>
      </c>
      <c r="T63" s="191" t="s">
        <v>4510</v>
      </c>
      <c r="U63" s="168">
        <v>184.6</v>
      </c>
      <c r="V63" s="168">
        <f t="shared" ref="V63:V83" si="17">U63*(1+$N$89+$Q$15*S63/36500)</f>
        <v>209.0420515068493</v>
      </c>
      <c r="W63" s="32">
        <f t="shared" ref="W63:W83" si="18">V63*(1+$W$19/100)</f>
        <v>213.22289253698631</v>
      </c>
      <c r="X63" s="32">
        <f t="shared" ref="X63:X83" si="19">V63*(1+$X$19/100)</f>
        <v>217.40373356712328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/>
      <c r="L64" s="117"/>
      <c r="M64" s="168"/>
      <c r="N64" s="113"/>
      <c r="Q64" s="169">
        <v>1692313</v>
      </c>
      <c r="R64" s="168" t="s">
        <v>4513</v>
      </c>
      <c r="S64" s="198">
        <f>S63-21</f>
        <v>137</v>
      </c>
      <c r="T64" s="190" t="s">
        <v>4514</v>
      </c>
      <c r="U64" s="168">
        <v>168.5</v>
      </c>
      <c r="V64" s="168">
        <f t="shared" si="17"/>
        <v>188.09585753424659</v>
      </c>
      <c r="W64" s="32">
        <f t="shared" si="18"/>
        <v>191.85777468493151</v>
      </c>
      <c r="X64" s="32">
        <f t="shared" si="19"/>
        <v>195.61969183561646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101153</v>
      </c>
      <c r="R65" s="168" t="s">
        <v>4516</v>
      </c>
      <c r="S65" s="198">
        <f>S64-1</f>
        <v>136</v>
      </c>
      <c r="T65" s="190" t="s">
        <v>4518</v>
      </c>
      <c r="U65" s="168">
        <v>166.7</v>
      </c>
      <c r="V65" s="168">
        <f t="shared" si="17"/>
        <v>185.95864547945206</v>
      </c>
      <c r="W65" s="32">
        <f t="shared" si="18"/>
        <v>189.67781838904111</v>
      </c>
      <c r="X65" s="32">
        <f t="shared" si="19"/>
        <v>193.39699129863016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 t="s">
        <v>4446</v>
      </c>
      <c r="N66" s="113">
        <f>-S184</f>
        <v>-17601015.093675721</v>
      </c>
      <c r="Q66" s="169">
        <v>183105</v>
      </c>
      <c r="R66" s="168" t="s">
        <v>4231</v>
      </c>
      <c r="S66" s="198">
        <f>S65-1</f>
        <v>135</v>
      </c>
      <c r="T66" s="190" t="s">
        <v>4522</v>
      </c>
      <c r="U66" s="168">
        <v>166.6</v>
      </c>
      <c r="V66" s="168">
        <f t="shared" si="17"/>
        <v>185.7192898630137</v>
      </c>
      <c r="W66" s="32">
        <f t="shared" si="18"/>
        <v>189.43367566027396</v>
      </c>
      <c r="X66" s="32">
        <f t="shared" si="19"/>
        <v>193.14806145753425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4736</v>
      </c>
      <c r="N67" s="113">
        <f>50*P58</f>
        <v>25675000</v>
      </c>
      <c r="P67" t="s">
        <v>25</v>
      </c>
      <c r="Q67" s="169">
        <v>168846</v>
      </c>
      <c r="R67" s="168" t="s">
        <v>3691</v>
      </c>
      <c r="S67" s="198">
        <f>S66-30</f>
        <v>105</v>
      </c>
      <c r="T67" s="190" t="s">
        <v>4622</v>
      </c>
      <c r="U67" s="168">
        <v>172.2</v>
      </c>
      <c r="V67" s="168">
        <f t="shared" si="17"/>
        <v>187.99899616438356</v>
      </c>
      <c r="W67" s="32">
        <f t="shared" si="18"/>
        <v>191.75897608767124</v>
      </c>
      <c r="X67" s="32">
        <f t="shared" si="19"/>
        <v>195.5189560109589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P68" t="s">
        <v>25</v>
      </c>
      <c r="Q68" s="169">
        <v>250962</v>
      </c>
      <c r="R68" s="168" t="s">
        <v>4664</v>
      </c>
      <c r="S68" s="198">
        <f>S67-10</f>
        <v>95</v>
      </c>
      <c r="T68" s="190" t="s">
        <v>4665</v>
      </c>
      <c r="U68" s="168">
        <v>5315.5</v>
      </c>
      <c r="V68" s="168">
        <f t="shared" si="17"/>
        <v>5762.4097643835612</v>
      </c>
      <c r="W68" s="32">
        <f t="shared" si="18"/>
        <v>5877.6579596712327</v>
      </c>
      <c r="X68" s="32">
        <f t="shared" si="19"/>
        <v>5992.9061549589042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 t="s">
        <v>598</v>
      </c>
      <c r="L69" s="113">
        <f>SUM(L16:L54)</f>
        <v>505250718.9099859</v>
      </c>
      <c r="M69" s="168"/>
      <c r="N69" s="113">
        <f>SUM(N16:N68)</f>
        <v>563722310.49633837</v>
      </c>
      <c r="Q69" s="169">
        <v>352231</v>
      </c>
      <c r="R69" s="215" t="s">
        <v>4712</v>
      </c>
      <c r="S69" s="198">
        <f>S68-7</f>
        <v>88</v>
      </c>
      <c r="T69" s="190" t="s">
        <v>4714</v>
      </c>
      <c r="U69" s="215">
        <v>502.3</v>
      </c>
      <c r="V69" s="215">
        <f t="shared" si="17"/>
        <v>541.83445041095899</v>
      </c>
      <c r="W69" s="32">
        <f t="shared" si="18"/>
        <v>552.67113941917819</v>
      </c>
      <c r="X69" s="32">
        <f t="shared" si="19"/>
        <v>563.50782842739738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599</v>
      </c>
      <c r="L70" s="113">
        <f>L16+L17+L26</f>
        <v>955749</v>
      </c>
      <c r="M70" s="168"/>
      <c r="N70" s="113">
        <f>N16+N17+N37</f>
        <v>641053</v>
      </c>
      <c r="Q70" s="169">
        <v>165067</v>
      </c>
      <c r="R70" s="215" t="s">
        <v>4762</v>
      </c>
      <c r="S70" s="198">
        <f>S69-16</f>
        <v>72</v>
      </c>
      <c r="T70" s="190" t="s">
        <v>4770</v>
      </c>
      <c r="U70" s="215">
        <v>3095.9</v>
      </c>
      <c r="V70" s="215">
        <f t="shared" si="17"/>
        <v>3301.5695430136989</v>
      </c>
      <c r="W70" s="32">
        <f t="shared" si="18"/>
        <v>3367.6009338739727</v>
      </c>
      <c r="X70" s="32">
        <f t="shared" si="19"/>
        <v>3433.632324734247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56" t="s">
        <v>716</v>
      </c>
      <c r="L71" s="1">
        <f>L69+N7</f>
        <v>575250718.9099859</v>
      </c>
      <c r="M71" s="113"/>
      <c r="N71" s="168"/>
      <c r="O71" s="115"/>
      <c r="P71" s="115"/>
      <c r="Q71" s="169">
        <v>62110</v>
      </c>
      <c r="R71" s="215" t="s">
        <v>4902</v>
      </c>
      <c r="S71" s="198">
        <f>S70-26</f>
        <v>46</v>
      </c>
      <c r="T71" s="190" t="s">
        <v>4906</v>
      </c>
      <c r="U71" s="215">
        <v>270</v>
      </c>
      <c r="V71" s="215">
        <f t="shared" si="17"/>
        <v>282.55167123287674</v>
      </c>
      <c r="W71" s="32">
        <f t="shared" si="18"/>
        <v>288.2027046575343</v>
      </c>
      <c r="X71" s="32">
        <f t="shared" si="19"/>
        <v>293.8537380821918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O72" s="96"/>
      <c r="P72" s="96"/>
      <c r="Q72" s="169">
        <v>48217</v>
      </c>
      <c r="R72" s="215" t="s">
        <v>4921</v>
      </c>
      <c r="S72" s="198">
        <f>S71-2</f>
        <v>44</v>
      </c>
      <c r="T72" s="190" t="s">
        <v>4927</v>
      </c>
      <c r="U72" s="215">
        <v>400</v>
      </c>
      <c r="V72" s="215">
        <f t="shared" si="17"/>
        <v>417.9813698630137</v>
      </c>
      <c r="W72" s="32">
        <f t="shared" si="18"/>
        <v>426.34099726027398</v>
      </c>
      <c r="X72" s="32">
        <f t="shared" si="19"/>
        <v>434.70062465753426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M73" s="25"/>
      <c r="O73" t="s">
        <v>25</v>
      </c>
      <c r="Q73" s="169">
        <v>115911</v>
      </c>
      <c r="R73" s="215" t="s">
        <v>981</v>
      </c>
      <c r="S73" s="198">
        <f>S72-1</f>
        <v>43</v>
      </c>
      <c r="T73" s="190" t="s">
        <v>4930</v>
      </c>
      <c r="U73" s="215">
        <v>3605.5</v>
      </c>
      <c r="V73" s="215">
        <f t="shared" si="17"/>
        <v>3764.8137095890415</v>
      </c>
      <c r="W73" s="32">
        <f t="shared" si="18"/>
        <v>3840.1099837808224</v>
      </c>
      <c r="X73" s="32">
        <f t="shared" si="19"/>
        <v>3915.4062579726033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 t="s">
        <v>4080</v>
      </c>
      <c r="N74" s="99" t="s">
        <v>452</v>
      </c>
      <c r="O74" s="113">
        <f>O57*25</f>
        <v>32576425</v>
      </c>
      <c r="P74" s="115"/>
      <c r="Q74" s="169">
        <v>102339</v>
      </c>
      <c r="R74" s="215" t="s">
        <v>4935</v>
      </c>
      <c r="S74" s="198">
        <f>S73-8</f>
        <v>35</v>
      </c>
      <c r="T74" s="190" t="s">
        <v>4936</v>
      </c>
      <c r="U74" s="215">
        <v>4429</v>
      </c>
      <c r="V74" s="215">
        <f t="shared" si="17"/>
        <v>4597.5204164383567</v>
      </c>
      <c r="W74" s="32">
        <f t="shared" si="18"/>
        <v>4689.4708247671242</v>
      </c>
      <c r="X74" s="32">
        <f t="shared" si="19"/>
        <v>4781.4212330958908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177"/>
      <c r="N75" s="99" t="s">
        <v>1087</v>
      </c>
      <c r="O75" s="113">
        <f>O33*25</f>
        <v>3278675</v>
      </c>
      <c r="P75" s="115"/>
      <c r="Q75" s="169">
        <v>3792615</v>
      </c>
      <c r="R75" s="5" t="s">
        <v>4951</v>
      </c>
      <c r="S75" s="198">
        <f>S74-4</f>
        <v>31</v>
      </c>
      <c r="T75" s="190" t="s">
        <v>4954</v>
      </c>
      <c r="U75" s="215">
        <v>3775.1</v>
      </c>
      <c r="V75" s="215">
        <f t="shared" si="17"/>
        <v>3907.1561008219178</v>
      </c>
      <c r="W75" s="32">
        <f t="shared" si="18"/>
        <v>3985.2992228383564</v>
      </c>
      <c r="X75" s="32">
        <f t="shared" si="19"/>
        <v>4063.4423448547946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96" t="s">
        <v>4865</v>
      </c>
      <c r="N76" s="99" t="s">
        <v>751</v>
      </c>
      <c r="O76" s="113">
        <f>O21*25</f>
        <v>2197925</v>
      </c>
      <c r="Q76" s="169">
        <v>6278475</v>
      </c>
      <c r="R76" s="5" t="s">
        <v>4951</v>
      </c>
      <c r="S76" s="198">
        <f>S75</f>
        <v>31</v>
      </c>
      <c r="T76" s="190" t="s">
        <v>4955</v>
      </c>
      <c r="U76" s="215">
        <v>6250.1</v>
      </c>
      <c r="V76" s="215">
        <f t="shared" si="17"/>
        <v>6468.7336350684936</v>
      </c>
      <c r="W76" s="32">
        <f t="shared" si="18"/>
        <v>6598.108307769864</v>
      </c>
      <c r="X76" s="32">
        <f t="shared" si="19"/>
        <v>6727.4829804712335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122" t="s">
        <v>4411</v>
      </c>
      <c r="O77" s="114"/>
      <c r="Q77" s="169">
        <v>13517</v>
      </c>
      <c r="R77" s="5" t="s">
        <v>4951</v>
      </c>
      <c r="S77" s="198">
        <f>S76</f>
        <v>31</v>
      </c>
      <c r="T77" s="190" t="s">
        <v>4956</v>
      </c>
      <c r="U77" s="215">
        <v>4485.1000000000004</v>
      </c>
      <c r="V77" s="215">
        <f t="shared" si="17"/>
        <v>4641.9924843835624</v>
      </c>
      <c r="W77" s="32">
        <f t="shared" si="18"/>
        <v>4734.8323340712341</v>
      </c>
      <c r="X77" s="32">
        <f t="shared" si="19"/>
        <v>4827.6721837589048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4507</v>
      </c>
      <c r="N78" s="96"/>
      <c r="Q78" s="169">
        <v>19918023</v>
      </c>
      <c r="R78" s="5" t="s">
        <v>4951</v>
      </c>
      <c r="S78" s="198">
        <f>S77</f>
        <v>31</v>
      </c>
      <c r="T78" s="190" t="s">
        <v>4957</v>
      </c>
      <c r="U78" s="215">
        <v>183</v>
      </c>
      <c r="V78" s="215">
        <f t="shared" si="17"/>
        <v>189.4014904109589</v>
      </c>
      <c r="W78" s="32">
        <f t="shared" si="18"/>
        <v>193.18952021917809</v>
      </c>
      <c r="X78" s="32">
        <f t="shared" si="19"/>
        <v>196.97755002739726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4577</v>
      </c>
      <c r="N79" s="96"/>
      <c r="P79" t="s">
        <v>25</v>
      </c>
      <c r="Q79" s="169">
        <v>529520</v>
      </c>
      <c r="R79" s="5" t="s">
        <v>4980</v>
      </c>
      <c r="S79" s="198">
        <f>S78-8</f>
        <v>23</v>
      </c>
      <c r="T79" s="190" t="s">
        <v>4982</v>
      </c>
      <c r="U79" s="215">
        <v>4429.2</v>
      </c>
      <c r="V79" s="215">
        <f t="shared" si="17"/>
        <v>4556.9551167123291</v>
      </c>
      <c r="W79" s="32">
        <f t="shared" si="18"/>
        <v>4648.0942190465757</v>
      </c>
      <c r="X79" s="32">
        <f t="shared" si="19"/>
        <v>4739.2333213808224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 ht="45">
      <c r="D80" s="31" t="s">
        <v>307</v>
      </c>
      <c r="E80" s="1">
        <v>150000</v>
      </c>
      <c r="J80" t="s">
        <v>25</v>
      </c>
      <c r="K80" s="214" t="s">
        <v>4786</v>
      </c>
      <c r="L80" s="22" t="s">
        <v>4752</v>
      </c>
      <c r="M80" s="208" t="s">
        <v>4727</v>
      </c>
      <c r="N80" s="96"/>
      <c r="P80" s="115"/>
      <c r="Q80" s="169">
        <v>168390</v>
      </c>
      <c r="R80" s="19" t="s">
        <v>4995</v>
      </c>
      <c r="S80" s="198">
        <f>S79-6</f>
        <v>17</v>
      </c>
      <c r="T80" s="190" t="s">
        <v>4997</v>
      </c>
      <c r="U80" s="215">
        <v>632.5</v>
      </c>
      <c r="V80" s="215">
        <f t="shared" si="17"/>
        <v>647.83249315068508</v>
      </c>
      <c r="W80" s="32">
        <f t="shared" si="18"/>
        <v>660.78914301369878</v>
      </c>
      <c r="X80" s="32">
        <f t="shared" si="19"/>
        <v>673.74579287671247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K81" t="s">
        <v>4787</v>
      </c>
      <c r="M81" s="122"/>
      <c r="N81" s="96"/>
      <c r="P81" s="115" t="s">
        <v>25</v>
      </c>
      <c r="Q81" s="169">
        <v>466781</v>
      </c>
      <c r="R81" s="19" t="s">
        <v>5058</v>
      </c>
      <c r="S81" s="198">
        <f>S80-16</f>
        <v>1</v>
      </c>
      <c r="T81" s="190" t="s">
        <v>5059</v>
      </c>
      <c r="U81" s="215">
        <v>4005.4</v>
      </c>
      <c r="V81" s="215">
        <f t="shared" si="17"/>
        <v>4053.3331156164386</v>
      </c>
      <c r="W81" s="32">
        <f t="shared" si="18"/>
        <v>4134.3997779287674</v>
      </c>
      <c r="X81" s="32">
        <f t="shared" si="19"/>
        <v>4215.4664402410963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4580</v>
      </c>
      <c r="L82" s="96"/>
      <c r="M82" s="122"/>
      <c r="O82" t="s">
        <v>25</v>
      </c>
      <c r="P82" s="115"/>
      <c r="Q82" s="169">
        <v>1200301</v>
      </c>
      <c r="R82" s="19" t="s">
        <v>5065</v>
      </c>
      <c r="S82" s="198">
        <f>S81-4</f>
        <v>-3</v>
      </c>
      <c r="T82" s="190" t="s">
        <v>5067</v>
      </c>
      <c r="U82" s="215">
        <v>218.5</v>
      </c>
      <c r="V82" s="215">
        <f t="shared" si="17"/>
        <v>220.44435068493155</v>
      </c>
      <c r="W82" s="32">
        <f t="shared" si="18"/>
        <v>224.85323769863018</v>
      </c>
      <c r="X82" s="32">
        <f t="shared" si="19"/>
        <v>229.26212471232881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4866</v>
      </c>
      <c r="M83" s="96">
        <f>O57+O21+O33-O63</f>
        <v>1468427</v>
      </c>
      <c r="N83" s="113">
        <f>M83*P57</f>
        <v>321144984.89999998</v>
      </c>
      <c r="P83" s="115"/>
      <c r="Q83" s="169"/>
      <c r="R83" s="168"/>
      <c r="S83" s="113"/>
      <c r="T83" s="113"/>
      <c r="U83" s="168"/>
      <c r="V83" s="168">
        <f t="shared" si="17"/>
        <v>0</v>
      </c>
      <c r="W83" s="32">
        <f t="shared" si="18"/>
        <v>0</v>
      </c>
      <c r="X83" s="32">
        <f t="shared" si="19"/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t="s">
        <v>4867</v>
      </c>
      <c r="M84" t="s">
        <v>4267</v>
      </c>
      <c r="P84" s="115"/>
      <c r="Q84" s="113">
        <f>SUM(N29:N33)-SUM(Q62:Q83)</f>
        <v>5427701</v>
      </c>
      <c r="R84" s="168"/>
      <c r="S84" s="168"/>
      <c r="T84" s="168"/>
      <c r="U84" s="168"/>
      <c r="V84" s="168"/>
      <c r="W84" s="32"/>
      <c r="X84" s="32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4868</v>
      </c>
      <c r="M85" t="s">
        <v>4582</v>
      </c>
      <c r="N85" t="s">
        <v>25</v>
      </c>
      <c r="P85" s="115"/>
      <c r="R85" s="115"/>
      <c r="S85" s="115"/>
      <c r="T85" s="115" t="s">
        <v>25</v>
      </c>
      <c r="U85" s="115"/>
      <c r="V85" s="115"/>
      <c r="W85" s="195" t="s">
        <v>25</v>
      </c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4540</v>
      </c>
      <c r="P86" s="115"/>
      <c r="Q86" t="s">
        <v>25</v>
      </c>
      <c r="S86" s="26" t="s">
        <v>25</v>
      </c>
      <c r="T86" t="s">
        <v>25</v>
      </c>
      <c r="U86" s="96" t="s">
        <v>25</v>
      </c>
      <c r="V86" s="115" t="s">
        <v>25</v>
      </c>
      <c r="W86" s="195" t="s">
        <v>25</v>
      </c>
      <c r="X86" s="195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4586</v>
      </c>
      <c r="M87" t="s">
        <v>949</v>
      </c>
      <c r="N87">
        <v>6.3E-3</v>
      </c>
      <c r="P87" s="115"/>
      <c r="Q87" t="s">
        <v>25</v>
      </c>
      <c r="T87" t="s">
        <v>25</v>
      </c>
      <c r="W87" s="195" t="s">
        <v>25</v>
      </c>
      <c r="X87" s="195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4539</v>
      </c>
      <c r="M88" t="s">
        <v>61</v>
      </c>
      <c r="N88">
        <v>4.8999999999999998E-3</v>
      </c>
      <c r="P88" s="115"/>
      <c r="T88" t="s">
        <v>25</v>
      </c>
      <c r="U88" s="96" t="s">
        <v>25</v>
      </c>
      <c r="V88" t="s">
        <v>25</v>
      </c>
      <c r="W88" s="195"/>
      <c r="X88" s="195"/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s="22" t="s">
        <v>4243</v>
      </c>
      <c r="M89" t="s">
        <v>6</v>
      </c>
      <c r="N89">
        <f>N87+N88</f>
        <v>1.12E-2</v>
      </c>
      <c r="O89" t="s">
        <v>25</v>
      </c>
      <c r="P89" t="s">
        <v>25</v>
      </c>
      <c r="W89" s="195"/>
      <c r="X89" s="195"/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 ht="30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t="s">
        <v>4536</v>
      </c>
      <c r="Q90" s="73" t="s">
        <v>4295</v>
      </c>
      <c r="R90" s="112"/>
      <c r="S90" s="112"/>
      <c r="T90" s="112"/>
      <c r="U90" s="168" t="s">
        <v>4363</v>
      </c>
      <c r="V90" s="36" t="s">
        <v>4365</v>
      </c>
      <c r="W90" s="32"/>
      <c r="X90" s="32"/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4296</v>
      </c>
      <c r="Q91" s="112" t="s">
        <v>267</v>
      </c>
      <c r="R91" s="112" t="s">
        <v>180</v>
      </c>
      <c r="S91" s="112" t="s">
        <v>183</v>
      </c>
      <c r="T91" s="112" t="s">
        <v>8</v>
      </c>
      <c r="U91" s="168"/>
      <c r="V91" s="99"/>
      <c r="W91" s="32">
        <v>2</v>
      </c>
      <c r="X91" s="32">
        <v>4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25</v>
      </c>
      <c r="Q92" s="35">
        <v>184971545</v>
      </c>
      <c r="R92" s="5" t="s">
        <v>4172</v>
      </c>
      <c r="S92" s="5">
        <v>220</v>
      </c>
      <c r="T92" s="5" t="s">
        <v>4346</v>
      </c>
      <c r="U92" s="168">
        <v>192</v>
      </c>
      <c r="V92" s="99">
        <f t="shared" ref="V92:V123" si="21">U92*(1+$N$89+$Q$15*S92/36500)</f>
        <v>226.55368767123292</v>
      </c>
      <c r="W92" s="32">
        <f t="shared" ref="W92:W113" si="22">V92*(1+$W$19/100)</f>
        <v>231.08476142465759</v>
      </c>
      <c r="X92" s="32">
        <f t="shared" ref="X92:X113" si="23">V92*(1+$X$19/100)</f>
        <v>235.61583517808225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96"/>
      <c r="M93" s="194" t="s">
        <v>4535</v>
      </c>
      <c r="Q93" s="35">
        <v>9560464</v>
      </c>
      <c r="R93" s="5" t="s">
        <v>4299</v>
      </c>
      <c r="S93" s="5">
        <f>S92-31</f>
        <v>189</v>
      </c>
      <c r="T93" s="5" t="s">
        <v>4312</v>
      </c>
      <c r="U93" s="168">
        <v>214.57</v>
      </c>
      <c r="V93" s="99">
        <f t="shared" si="21"/>
        <v>248.08289468493155</v>
      </c>
      <c r="W93" s="32">
        <f t="shared" si="22"/>
        <v>253.04455257863017</v>
      </c>
      <c r="X93" s="32">
        <f t="shared" si="23"/>
        <v>258.0062104723288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t="s">
        <v>4536</v>
      </c>
      <c r="Q94" s="35">
        <v>2000000</v>
      </c>
      <c r="R94" s="5" t="s">
        <v>4342</v>
      </c>
      <c r="S94" s="5">
        <f>S93-11</f>
        <v>178</v>
      </c>
      <c r="T94" s="5" t="s">
        <v>4345</v>
      </c>
      <c r="U94" s="168">
        <v>206.8</v>
      </c>
      <c r="V94" s="99">
        <f t="shared" si="21"/>
        <v>237.35427506849317</v>
      </c>
      <c r="W94" s="32">
        <f t="shared" si="22"/>
        <v>242.10136056986303</v>
      </c>
      <c r="X94" s="32">
        <f t="shared" si="23"/>
        <v>246.8484460712329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4539</v>
      </c>
      <c r="Q95" s="35">
        <v>1429825</v>
      </c>
      <c r="R95" s="5" t="s">
        <v>4372</v>
      </c>
      <c r="S95" s="5">
        <f>S94-7</f>
        <v>171</v>
      </c>
      <c r="T95" s="5" t="s">
        <v>4381</v>
      </c>
      <c r="U95" s="168">
        <v>203.9</v>
      </c>
      <c r="V95" s="99">
        <f t="shared" si="21"/>
        <v>232.93089095890411</v>
      </c>
      <c r="W95" s="32">
        <f t="shared" si="22"/>
        <v>237.58950877808221</v>
      </c>
      <c r="X95" s="32">
        <f t="shared" si="23"/>
        <v>242.2481265972603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4540</v>
      </c>
      <c r="Q96" s="35">
        <v>1420747</v>
      </c>
      <c r="R96" s="5" t="s">
        <v>4372</v>
      </c>
      <c r="S96" s="5">
        <f>S95</f>
        <v>171</v>
      </c>
      <c r="T96" s="5" t="s">
        <v>4383</v>
      </c>
      <c r="U96" s="168">
        <v>203.1</v>
      </c>
      <c r="V96" s="99">
        <f t="shared" si="21"/>
        <v>232.01698849315068</v>
      </c>
      <c r="W96" s="32">
        <f t="shared" si="22"/>
        <v>236.65732826301368</v>
      </c>
      <c r="X96" s="32">
        <f t="shared" si="23"/>
        <v>241.29766803287671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L97" s="96"/>
      <c r="M97" s="96"/>
      <c r="N97" s="96"/>
      <c r="Q97" s="35">
        <v>2412371</v>
      </c>
      <c r="R97" s="5" t="s">
        <v>4374</v>
      </c>
      <c r="S97" s="5">
        <f>S96-1</f>
        <v>170</v>
      </c>
      <c r="T97" s="5" t="s">
        <v>4390</v>
      </c>
      <c r="U97" s="168">
        <v>3930</v>
      </c>
      <c r="V97" s="99">
        <f t="shared" si="21"/>
        <v>4486.531068493151</v>
      </c>
      <c r="W97" s="32">
        <f t="shared" si="22"/>
        <v>4576.261689863014</v>
      </c>
      <c r="X97" s="32">
        <f t="shared" si="23"/>
        <v>4665.992311232877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2010885</v>
      </c>
      <c r="R98" s="5" t="s">
        <v>4393</v>
      </c>
      <c r="S98" s="5">
        <f>S97-2</f>
        <v>168</v>
      </c>
      <c r="T98" s="5" t="s">
        <v>4399</v>
      </c>
      <c r="U98" s="168">
        <v>202.1</v>
      </c>
      <c r="V98" s="99">
        <f t="shared" si="21"/>
        <v>230.40950356164385</v>
      </c>
      <c r="W98" s="32">
        <f t="shared" si="22"/>
        <v>235.01769363287673</v>
      </c>
      <c r="X98" s="32">
        <f t="shared" si="23"/>
        <v>239.62588370410961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 t="s">
        <v>25</v>
      </c>
      <c r="K99" s="96"/>
      <c r="Q99" s="35">
        <v>1994038</v>
      </c>
      <c r="R99" s="5" t="s">
        <v>4404</v>
      </c>
      <c r="S99" s="5">
        <f>S98-3</f>
        <v>165</v>
      </c>
      <c r="T99" s="5" t="s">
        <v>4420</v>
      </c>
      <c r="U99" s="168">
        <v>5560.3</v>
      </c>
      <c r="V99" s="99">
        <f t="shared" si="21"/>
        <v>6326.3722367123291</v>
      </c>
      <c r="W99" s="32">
        <f t="shared" si="22"/>
        <v>6452.8996814465754</v>
      </c>
      <c r="X99" s="32">
        <f t="shared" si="23"/>
        <v>6579.4271261808226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s="96"/>
      <c r="Q100" s="35">
        <v>444</v>
      </c>
      <c r="R100" s="5" t="s">
        <v>4404</v>
      </c>
      <c r="S100" s="5">
        <f>S99</f>
        <v>165</v>
      </c>
      <c r="T100" s="5" t="s">
        <v>4611</v>
      </c>
      <c r="U100" s="168">
        <v>441.8</v>
      </c>
      <c r="V100" s="99">
        <f t="shared" si="21"/>
        <v>502.66914630136989</v>
      </c>
      <c r="W100" s="32">
        <f t="shared" si="22"/>
        <v>512.72252922739733</v>
      </c>
      <c r="X100" s="32">
        <f t="shared" si="23"/>
        <v>522.77591215342466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K101" s="96"/>
      <c r="P101" s="115"/>
      <c r="Q101" s="35">
        <v>1971103</v>
      </c>
      <c r="R101" s="5" t="s">
        <v>4415</v>
      </c>
      <c r="S101" s="5">
        <f>S100-1</f>
        <v>164</v>
      </c>
      <c r="T101" s="5" t="s">
        <v>4416</v>
      </c>
      <c r="U101" s="168">
        <v>196.2</v>
      </c>
      <c r="V101" s="99">
        <f t="shared" si="21"/>
        <v>223.08101260273975</v>
      </c>
      <c r="W101" s="32">
        <f t="shared" si="22"/>
        <v>227.54263285479453</v>
      </c>
      <c r="X101" s="32">
        <f t="shared" si="23"/>
        <v>232.00425310684935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/>
      <c r="K102" s="96"/>
      <c r="P102" s="128"/>
      <c r="Q102" s="35">
        <v>1049856</v>
      </c>
      <c r="R102" s="5" t="s">
        <v>4438</v>
      </c>
      <c r="S102" s="5">
        <f>S101-6</f>
        <v>158</v>
      </c>
      <c r="T102" s="5" t="s">
        <v>4477</v>
      </c>
      <c r="U102" s="168">
        <v>184.5</v>
      </c>
      <c r="V102" s="99">
        <f t="shared" si="21"/>
        <v>208.92881095890411</v>
      </c>
      <c r="W102" s="32">
        <f t="shared" si="22"/>
        <v>213.10738717808221</v>
      </c>
      <c r="X102" s="32">
        <f t="shared" si="23"/>
        <v>217.28596339726028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1783234</v>
      </c>
      <c r="R103" s="5" t="s">
        <v>4440</v>
      </c>
      <c r="S103" s="5">
        <f>S102-2</f>
        <v>156</v>
      </c>
      <c r="T103" s="5" t="s">
        <v>4441</v>
      </c>
      <c r="U103" s="168">
        <v>177.5</v>
      </c>
      <c r="V103" s="99">
        <f t="shared" si="21"/>
        <v>200.72964383561649</v>
      </c>
      <c r="W103" s="32">
        <f t="shared" si="22"/>
        <v>204.74423671232881</v>
      </c>
      <c r="X103" s="32">
        <f t="shared" si="23"/>
        <v>208.75882958904114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L104" s="96"/>
      <c r="M104" s="96"/>
      <c r="N104" s="96"/>
      <c r="P104" s="115"/>
      <c r="Q104" s="35">
        <v>1662335</v>
      </c>
      <c r="R104" s="5" t="s">
        <v>4444</v>
      </c>
      <c r="S104" s="5">
        <f>S103-5</f>
        <v>151</v>
      </c>
      <c r="T104" s="220" t="s">
        <v>4594</v>
      </c>
      <c r="U104" s="168">
        <v>190.3</v>
      </c>
      <c r="V104" s="99">
        <f t="shared" si="21"/>
        <v>214.47487780821919</v>
      </c>
      <c r="W104" s="32">
        <f t="shared" si="22"/>
        <v>218.76437536438357</v>
      </c>
      <c r="X104" s="32">
        <f t="shared" si="23"/>
        <v>223.05387292054797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Q105" s="169">
        <v>499973</v>
      </c>
      <c r="R105" s="168" t="s">
        <v>4584</v>
      </c>
      <c r="S105" s="168">
        <f>S104-37</f>
        <v>114</v>
      </c>
      <c r="T105" s="73" t="s">
        <v>4585</v>
      </c>
      <c r="U105" s="168">
        <v>413</v>
      </c>
      <c r="V105" s="99">
        <f t="shared" si="21"/>
        <v>453.74329863013702</v>
      </c>
      <c r="W105" s="32">
        <f t="shared" si="22"/>
        <v>462.81816460273978</v>
      </c>
      <c r="X105" s="32">
        <f t="shared" si="23"/>
        <v>471.89303057534249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2272487</v>
      </c>
      <c r="R106" s="5" t="s">
        <v>4604</v>
      </c>
      <c r="S106" s="5">
        <f>S105-5</f>
        <v>109</v>
      </c>
      <c r="T106" s="5" t="s">
        <v>4605</v>
      </c>
      <c r="U106" s="168">
        <v>174.9</v>
      </c>
      <c r="V106" s="99">
        <f t="shared" si="21"/>
        <v>191.48339506849317</v>
      </c>
      <c r="W106" s="32">
        <f t="shared" si="22"/>
        <v>195.31306296986304</v>
      </c>
      <c r="X106" s="32">
        <f t="shared" si="23"/>
        <v>199.14273087123291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F107" s="215" t="s">
        <v>4717</v>
      </c>
      <c r="G107" s="215" t="s">
        <v>941</v>
      </c>
      <c r="H107" s="215" t="s">
        <v>4697</v>
      </c>
      <c r="I107" s="215" t="s">
        <v>4696</v>
      </c>
      <c r="J107" s="32" t="s">
        <v>4541</v>
      </c>
      <c r="K107" s="215" t="s">
        <v>4686</v>
      </c>
      <c r="L107" s="32" t="s">
        <v>4688</v>
      </c>
      <c r="M107" s="32" t="s">
        <v>4656</v>
      </c>
      <c r="N107" s="215" t="s">
        <v>4657</v>
      </c>
      <c r="Q107" s="35">
        <v>3975257</v>
      </c>
      <c r="R107" s="5" t="s">
        <v>4609</v>
      </c>
      <c r="S107" s="5">
        <f>S106-1</f>
        <v>108</v>
      </c>
      <c r="T107" s="5" t="s">
        <v>4610</v>
      </c>
      <c r="U107" s="168">
        <v>173</v>
      </c>
      <c r="V107" s="99">
        <f t="shared" si="21"/>
        <v>189.27053150684935</v>
      </c>
      <c r="W107" s="32">
        <f t="shared" si="22"/>
        <v>193.05594213698635</v>
      </c>
      <c r="X107" s="32">
        <f t="shared" si="23"/>
        <v>196.84135276712334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00">
        <f t="shared" ref="F108:F113" si="25">$L$119/G108</f>
        <v>23479.652491998171</v>
      </c>
      <c r="G108" s="200">
        <f>P57</f>
        <v>218.7</v>
      </c>
      <c r="H108" s="200" t="s">
        <v>4846</v>
      </c>
      <c r="I108" s="200" t="s">
        <v>4845</v>
      </c>
      <c r="J108" s="216" t="s">
        <v>4243</v>
      </c>
      <c r="K108" s="200">
        <v>62</v>
      </c>
      <c r="L108" s="217">
        <f t="shared" ref="L108:L116" si="26">K108*$L$119</f>
        <v>318370000</v>
      </c>
      <c r="M108" s="217">
        <f>N21+N33+N57</f>
        <v>332887862.69999999</v>
      </c>
      <c r="N108" s="184">
        <f t="shared" ref="N108:N116" si="27">L108-M108</f>
        <v>-14517862.699999988</v>
      </c>
      <c r="Q108" s="35">
        <v>1031662</v>
      </c>
      <c r="R108" s="5" t="s">
        <v>4234</v>
      </c>
      <c r="S108" s="5">
        <f>S107-1</f>
        <v>107</v>
      </c>
      <c r="T108" s="5" t="s">
        <v>4613</v>
      </c>
      <c r="U108" s="168">
        <v>171.2</v>
      </c>
      <c r="V108" s="99">
        <f t="shared" si="21"/>
        <v>187.1699112328767</v>
      </c>
      <c r="W108" s="32">
        <f t="shared" si="22"/>
        <v>190.91330945753424</v>
      </c>
      <c r="X108" s="32">
        <f t="shared" si="23"/>
        <v>194.65670768219178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15">
        <f t="shared" si="25"/>
        <v>810.42265080016421</v>
      </c>
      <c r="G109" s="215">
        <f>P50</f>
        <v>6336.2</v>
      </c>
      <c r="H109" s="215" t="s">
        <v>5070</v>
      </c>
      <c r="I109" s="215" t="s">
        <v>5071</v>
      </c>
      <c r="J109" s="32" t="s">
        <v>4395</v>
      </c>
      <c r="K109" s="215">
        <v>34</v>
      </c>
      <c r="L109" s="1">
        <f t="shared" si="26"/>
        <v>174590000</v>
      </c>
      <c r="M109" s="1">
        <f>N26+N50+N29</f>
        <v>228819190.59999999</v>
      </c>
      <c r="N109" s="113">
        <f t="shared" si="27"/>
        <v>-54229190.599999994</v>
      </c>
      <c r="Q109" s="169">
        <v>2666019</v>
      </c>
      <c r="R109" s="168" t="s">
        <v>4234</v>
      </c>
      <c r="S109" s="168">
        <f>S108</f>
        <v>107</v>
      </c>
      <c r="T109" s="168" t="s">
        <v>4615</v>
      </c>
      <c r="U109" s="168">
        <v>749</v>
      </c>
      <c r="V109" s="99">
        <f t="shared" si="21"/>
        <v>818.86836164383567</v>
      </c>
      <c r="W109" s="32">
        <f t="shared" si="22"/>
        <v>835.24572887671241</v>
      </c>
      <c r="X109" s="32">
        <f t="shared" si="23"/>
        <v>851.62309610958914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00">
        <f t="shared" si="25"/>
        <v>1242.7095181626776</v>
      </c>
      <c r="G110" s="200">
        <f>P46</f>
        <v>4132.1000000000004</v>
      </c>
      <c r="H110" s="200" t="s">
        <v>3881</v>
      </c>
      <c r="I110" s="200" t="s">
        <v>4701</v>
      </c>
      <c r="J110" s="216" t="s">
        <v>4391</v>
      </c>
      <c r="K110" s="200">
        <v>34</v>
      </c>
      <c r="L110" s="217">
        <f t="shared" si="26"/>
        <v>174590000</v>
      </c>
      <c r="M110" s="217">
        <f>N46+N30+N22</f>
        <v>245678137.60000002</v>
      </c>
      <c r="N110" s="184">
        <f t="shared" si="27"/>
        <v>-71088137.600000024</v>
      </c>
      <c r="Q110" s="35">
        <v>577500</v>
      </c>
      <c r="R110" s="5" t="s">
        <v>4234</v>
      </c>
      <c r="S110" s="5">
        <f>S109</f>
        <v>107</v>
      </c>
      <c r="T110" s="5" t="s">
        <v>4618</v>
      </c>
      <c r="U110" s="168">
        <v>175</v>
      </c>
      <c r="V110" s="99">
        <f t="shared" si="21"/>
        <v>191.32438356164386</v>
      </c>
      <c r="W110" s="32">
        <f t="shared" si="22"/>
        <v>195.15087123287674</v>
      </c>
      <c r="X110" s="32">
        <f t="shared" si="23"/>
        <v>198.97735890410962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15">
        <f t="shared" si="25"/>
        <v>7192.8841574450207</v>
      </c>
      <c r="G111" s="215">
        <f>P51</f>
        <v>713.9</v>
      </c>
      <c r="H111" s="215" t="s">
        <v>4699</v>
      </c>
      <c r="I111" s="215" t="s">
        <v>4698</v>
      </c>
      <c r="J111" s="32" t="s">
        <v>4410</v>
      </c>
      <c r="K111" s="215">
        <v>34</v>
      </c>
      <c r="L111" s="1">
        <f t="shared" si="26"/>
        <v>174590000</v>
      </c>
      <c r="M111" s="1">
        <f>N51+N24+N31</f>
        <v>187401605.59999996</v>
      </c>
      <c r="N111" s="113">
        <f t="shared" si="27"/>
        <v>-12811605.599999964</v>
      </c>
      <c r="Q111" s="35">
        <v>12636487</v>
      </c>
      <c r="R111" s="5" t="s">
        <v>3691</v>
      </c>
      <c r="S111" s="5">
        <f>S110-2</f>
        <v>105</v>
      </c>
      <c r="T111" s="5" t="s">
        <v>4621</v>
      </c>
      <c r="U111" s="168">
        <v>172.1</v>
      </c>
      <c r="V111" s="99">
        <f t="shared" si="21"/>
        <v>187.889821369863</v>
      </c>
      <c r="W111" s="32">
        <f t="shared" si="22"/>
        <v>191.64761779726027</v>
      </c>
      <c r="X111" s="32">
        <f t="shared" si="23"/>
        <v>195.40541422465753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00">
        <f t="shared" si="25"/>
        <v>903.22240202631394</v>
      </c>
      <c r="G112" s="200">
        <f>P53</f>
        <v>5685.2</v>
      </c>
      <c r="H112" s="200" t="s">
        <v>4702</v>
      </c>
      <c r="I112" s="200" t="s">
        <v>4701</v>
      </c>
      <c r="J112" s="216" t="s">
        <v>4537</v>
      </c>
      <c r="K112" s="200">
        <v>7</v>
      </c>
      <c r="L112" s="217">
        <f t="shared" si="26"/>
        <v>35945000</v>
      </c>
      <c r="M112" s="217">
        <f>N53</f>
        <v>16560987.6</v>
      </c>
      <c r="N112" s="184">
        <f t="shared" si="27"/>
        <v>19384012.399999999</v>
      </c>
      <c r="Q112" s="169">
        <v>60508</v>
      </c>
      <c r="R112" s="168" t="s">
        <v>4624</v>
      </c>
      <c r="S112" s="168">
        <f>S111-3</f>
        <v>102</v>
      </c>
      <c r="T112" s="168" t="s">
        <v>4983</v>
      </c>
      <c r="U112" s="168">
        <v>1204.7</v>
      </c>
      <c r="V112" s="99">
        <f t="shared" si="21"/>
        <v>1312.4562893150687</v>
      </c>
      <c r="W112" s="32">
        <f t="shared" si="22"/>
        <v>1338.7054151013701</v>
      </c>
      <c r="X112" s="32">
        <f t="shared" si="23"/>
        <v>1364.9545408876716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15">
        <f t="shared" si="25"/>
        <v>1045.1649671286966</v>
      </c>
      <c r="G113" s="215">
        <f>P52</f>
        <v>4913.1000000000004</v>
      </c>
      <c r="H113" s="215" t="s">
        <v>4703</v>
      </c>
      <c r="I113" s="215" t="s">
        <v>4704</v>
      </c>
      <c r="J113" s="32" t="s">
        <v>4538</v>
      </c>
      <c r="K113" s="215">
        <v>34</v>
      </c>
      <c r="L113" s="1">
        <f t="shared" si="26"/>
        <v>174590000</v>
      </c>
      <c r="M113" s="1">
        <f>N52+N25</f>
        <v>140863490.10000002</v>
      </c>
      <c r="N113" s="113">
        <f t="shared" si="27"/>
        <v>33726509.899999976</v>
      </c>
      <c r="Q113" s="39">
        <v>11121445</v>
      </c>
      <c r="R113" s="5" t="s">
        <v>4624</v>
      </c>
      <c r="S113" s="5">
        <f>S112</f>
        <v>102</v>
      </c>
      <c r="T113" s="5" t="s">
        <v>4859</v>
      </c>
      <c r="U113" s="168">
        <v>171.8</v>
      </c>
      <c r="V113" s="99">
        <f t="shared" si="21"/>
        <v>187.16692164383565</v>
      </c>
      <c r="W113" s="32">
        <f t="shared" si="22"/>
        <v>190.91026007671238</v>
      </c>
      <c r="X113" s="32">
        <f t="shared" si="23"/>
        <v>194.65359850958907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00"/>
      <c r="G114" s="200"/>
      <c r="H114" s="231">
        <v>35433</v>
      </c>
      <c r="I114" s="200" t="s">
        <v>4700</v>
      </c>
      <c r="J114" s="216" t="s">
        <v>4614</v>
      </c>
      <c r="K114" s="200">
        <v>1</v>
      </c>
      <c r="L114" s="217">
        <f t="shared" si="26"/>
        <v>5135000</v>
      </c>
      <c r="M114" s="217">
        <f>N54</f>
        <v>5007180</v>
      </c>
      <c r="N114" s="113">
        <f t="shared" si="27"/>
        <v>127820</v>
      </c>
      <c r="Q114" s="35">
        <v>8978273</v>
      </c>
      <c r="R114" s="5" t="s">
        <v>4628</v>
      </c>
      <c r="S114" s="5">
        <f>S113-1</f>
        <v>101</v>
      </c>
      <c r="T114" s="5" t="s">
        <v>4629</v>
      </c>
      <c r="U114" s="168">
        <v>3405.9</v>
      </c>
      <c r="V114" s="99">
        <f t="shared" si="21"/>
        <v>3707.9333457534253</v>
      </c>
      <c r="W114" s="32">
        <f t="shared" ref="W114:W171" si="28">V114*(1+$W$19/100)</f>
        <v>3782.0920126684937</v>
      </c>
      <c r="X114" s="32">
        <f t="shared" ref="X114:X171" si="29">V114*(1+$X$19/100)</f>
        <v>3856.2506795835625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15"/>
      <c r="G115" s="215"/>
      <c r="H115" s="215" t="s">
        <v>3881</v>
      </c>
      <c r="I115" s="215" t="s">
        <v>4844</v>
      </c>
      <c r="J115" s="32" t="s">
        <v>4296</v>
      </c>
      <c r="K115" s="215">
        <v>4</v>
      </c>
      <c r="L115" s="1">
        <f t="shared" si="26"/>
        <v>20540000</v>
      </c>
      <c r="M115" s="1">
        <f>N55</f>
        <v>2791803</v>
      </c>
      <c r="N115" s="113">
        <f t="shared" si="27"/>
        <v>17748197</v>
      </c>
      <c r="Q115" s="169">
        <v>12953846</v>
      </c>
      <c r="R115" s="168" t="s">
        <v>4628</v>
      </c>
      <c r="S115" s="168">
        <f>S114</f>
        <v>101</v>
      </c>
      <c r="T115" s="168" t="s">
        <v>4747</v>
      </c>
      <c r="U115" s="168">
        <v>4500.5</v>
      </c>
      <c r="V115" s="99">
        <f t="shared" si="21"/>
        <v>4899.6018739726032</v>
      </c>
      <c r="W115" s="32">
        <f t="shared" si="28"/>
        <v>4997.5939114520552</v>
      </c>
      <c r="X115" s="32">
        <f t="shared" si="29"/>
        <v>5095.5859489315071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00"/>
      <c r="G116" s="200"/>
      <c r="H116" s="200"/>
      <c r="I116" s="200"/>
      <c r="J116" s="216" t="s">
        <v>4669</v>
      </c>
      <c r="K116" s="200">
        <v>1</v>
      </c>
      <c r="L116" s="217">
        <f t="shared" si="26"/>
        <v>5135000</v>
      </c>
      <c r="M116" s="217">
        <f>N47+N49+N56</f>
        <v>1299821</v>
      </c>
      <c r="N116" s="184">
        <f t="shared" si="27"/>
        <v>3835179</v>
      </c>
      <c r="Q116" s="35">
        <v>4068640</v>
      </c>
      <c r="R116" s="5" t="s">
        <v>4634</v>
      </c>
      <c r="S116" s="5">
        <f>S115-1</f>
        <v>100</v>
      </c>
      <c r="T116" s="5" t="s">
        <v>4635</v>
      </c>
      <c r="U116" s="168">
        <v>3322.3</v>
      </c>
      <c r="V116" s="99">
        <f t="shared" si="21"/>
        <v>3614.3711298630137</v>
      </c>
      <c r="W116" s="32">
        <f t="shared" si="28"/>
        <v>3686.6585524602742</v>
      </c>
      <c r="X116" s="32">
        <f t="shared" si="29"/>
        <v>3758.9459750575343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15"/>
      <c r="G117" s="215"/>
      <c r="H117" s="215"/>
      <c r="I117" s="215"/>
      <c r="J117" s="32" t="s">
        <v>4816</v>
      </c>
      <c r="K117" s="215"/>
      <c r="L117" s="1"/>
      <c r="M117" s="1"/>
      <c r="N117" s="113">
        <v>50000000</v>
      </c>
      <c r="Q117" s="35">
        <v>12656982</v>
      </c>
      <c r="R117" s="5" t="s">
        <v>4634</v>
      </c>
      <c r="S117" s="5">
        <f>S116</f>
        <v>100</v>
      </c>
      <c r="T117" s="5" t="s">
        <v>4636</v>
      </c>
      <c r="U117" s="168">
        <v>5249.9</v>
      </c>
      <c r="V117" s="99">
        <f t="shared" si="21"/>
        <v>5711.43093479452</v>
      </c>
      <c r="W117" s="32">
        <f t="shared" si="28"/>
        <v>5825.6595534904109</v>
      </c>
      <c r="X117" s="32">
        <f t="shared" si="29"/>
        <v>5939.8881721863008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00"/>
      <c r="I118" s="200"/>
      <c r="J118" s="216" t="s">
        <v>4952</v>
      </c>
      <c r="K118" s="200">
        <f>SUM(K108:K116)</f>
        <v>211</v>
      </c>
      <c r="L118" s="217"/>
      <c r="M118" s="217"/>
      <c r="N118" s="184"/>
      <c r="Q118" s="169">
        <v>100905</v>
      </c>
      <c r="R118" s="168" t="s">
        <v>4637</v>
      </c>
      <c r="S118" s="168">
        <f>S117-1</f>
        <v>99</v>
      </c>
      <c r="T118" s="168" t="s">
        <v>4643</v>
      </c>
      <c r="U118" s="168">
        <v>372</v>
      </c>
      <c r="V118" s="99">
        <f t="shared" si="21"/>
        <v>404.41801643835618</v>
      </c>
      <c r="W118" s="32">
        <f t="shared" si="28"/>
        <v>412.5063767671233</v>
      </c>
      <c r="X118" s="32">
        <f t="shared" si="29"/>
        <v>420.59473709589042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15"/>
      <c r="G119" s="215"/>
      <c r="H119" s="215" t="s">
        <v>25</v>
      </c>
      <c r="I119" s="215"/>
      <c r="J119" s="32"/>
      <c r="K119" s="215">
        <v>8</v>
      </c>
      <c r="L119" s="39">
        <f>10*P58</f>
        <v>5135000</v>
      </c>
      <c r="M119" s="1">
        <f>K119*L119</f>
        <v>41080000</v>
      </c>
      <c r="N119" s="113">
        <f>SUM(N108:N117)-M119</f>
        <v>-68905078.199999988</v>
      </c>
      <c r="P119" s="114"/>
      <c r="Q119" s="35">
        <v>48637534</v>
      </c>
      <c r="R119" s="5" t="s">
        <v>4637</v>
      </c>
      <c r="S119" s="5">
        <f>S118</f>
        <v>99</v>
      </c>
      <c r="T119" s="5" t="s">
        <v>4641</v>
      </c>
      <c r="U119" s="168">
        <v>5330</v>
      </c>
      <c r="V119" s="99">
        <f t="shared" si="21"/>
        <v>5794.4839452054803</v>
      </c>
      <c r="W119" s="32">
        <f t="shared" si="28"/>
        <v>5910.3736241095903</v>
      </c>
      <c r="X119" s="32">
        <f t="shared" si="29"/>
        <v>6026.2633030136994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00"/>
      <c r="G120" s="200"/>
      <c r="H120" s="200"/>
      <c r="I120" s="200"/>
      <c r="J120" s="216"/>
      <c r="K120" s="248" t="s">
        <v>4978</v>
      </c>
      <c r="L120" s="217" t="s">
        <v>4253</v>
      </c>
      <c r="M120" s="217" t="s">
        <v>4678</v>
      </c>
      <c r="N120" s="184" t="s">
        <v>4679</v>
      </c>
      <c r="Q120" s="35">
        <v>40048573</v>
      </c>
      <c r="R120" s="5" t="s">
        <v>4637</v>
      </c>
      <c r="S120" s="5">
        <f>S119</f>
        <v>99</v>
      </c>
      <c r="T120" s="5" t="s">
        <v>4642</v>
      </c>
      <c r="U120" s="168">
        <v>498.9</v>
      </c>
      <c r="V120" s="99">
        <f t="shared" si="21"/>
        <v>542.37674301369861</v>
      </c>
      <c r="W120" s="32">
        <f t="shared" si="28"/>
        <v>553.2242778739726</v>
      </c>
      <c r="X120" s="32">
        <f t="shared" si="29"/>
        <v>564.07181273424658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15"/>
      <c r="G121" s="215"/>
      <c r="H121" s="215"/>
      <c r="I121" s="215"/>
      <c r="J121" s="32" t="s">
        <v>4687</v>
      </c>
      <c r="K121" s="215"/>
      <c r="L121" s="1"/>
      <c r="M121" s="1"/>
      <c r="N121" s="113"/>
      <c r="Q121" s="169">
        <v>1000495</v>
      </c>
      <c r="R121" s="168" t="s">
        <v>4653</v>
      </c>
      <c r="S121" s="168">
        <f>S120-1</f>
        <v>98</v>
      </c>
      <c r="T121" s="168" t="s">
        <v>4718</v>
      </c>
      <c r="U121" s="168">
        <v>724.8</v>
      </c>
      <c r="V121" s="99">
        <f t="shared" si="21"/>
        <v>787.40683397260284</v>
      </c>
      <c r="W121" s="32">
        <f t="shared" si="28"/>
        <v>803.15497065205489</v>
      </c>
      <c r="X121" s="32">
        <f t="shared" si="29"/>
        <v>818.90310733150693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M122" t="s">
        <v>25</v>
      </c>
      <c r="Q122" s="35">
        <v>37856769</v>
      </c>
      <c r="R122" s="5" t="s">
        <v>4653</v>
      </c>
      <c r="S122" s="5">
        <f>S121</f>
        <v>98</v>
      </c>
      <c r="T122" s="5" t="s">
        <v>4655</v>
      </c>
      <c r="U122" s="168">
        <v>5393.6</v>
      </c>
      <c r="V122" s="99">
        <f t="shared" si="21"/>
        <v>5859.4888241095905</v>
      </c>
      <c r="W122" s="32">
        <f t="shared" si="28"/>
        <v>5976.678600591782</v>
      </c>
      <c r="X122" s="32">
        <f t="shared" si="29"/>
        <v>6093.8683770739744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4625</v>
      </c>
    </row>
    <row r="123" spans="6:46">
      <c r="P123" s="114"/>
      <c r="Q123" s="35">
        <v>155151</v>
      </c>
      <c r="R123" s="5" t="s">
        <v>4664</v>
      </c>
      <c r="S123" s="5">
        <f>S122-3</f>
        <v>95</v>
      </c>
      <c r="T123" s="5" t="s">
        <v>4666</v>
      </c>
      <c r="U123" s="168">
        <v>5325.9</v>
      </c>
      <c r="V123" s="99">
        <f t="shared" si="21"/>
        <v>5773.6841621917802</v>
      </c>
      <c r="W123" s="32">
        <f t="shared" si="28"/>
        <v>5889.1578454356159</v>
      </c>
      <c r="X123" s="32">
        <f t="shared" si="29"/>
        <v>6004.6315286794515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4638</v>
      </c>
    </row>
    <row r="124" spans="6:46">
      <c r="F124" s="215" t="s">
        <v>5000</v>
      </c>
      <c r="G124" s="129" t="s">
        <v>5001</v>
      </c>
      <c r="H124" s="4" t="s">
        <v>4951</v>
      </c>
      <c r="I124" s="4" t="s">
        <v>4837</v>
      </c>
      <c r="J124" s="215" t="s">
        <v>4810</v>
      </c>
      <c r="K124" s="168" t="s">
        <v>4541</v>
      </c>
      <c r="L124" s="168" t="s">
        <v>4542</v>
      </c>
      <c r="M124" s="168" t="s">
        <v>4436</v>
      </c>
      <c r="N124" s="56" t="s">
        <v>190</v>
      </c>
      <c r="Q124" s="169">
        <v>109726</v>
      </c>
      <c r="R124" s="168" t="s">
        <v>4664</v>
      </c>
      <c r="S124" s="168">
        <f>S123</f>
        <v>95</v>
      </c>
      <c r="T124" s="168" t="s">
        <v>4667</v>
      </c>
      <c r="U124" s="168">
        <v>3900.7</v>
      </c>
      <c r="V124" s="99">
        <f t="shared" ref="V124:V155" si="32">U124*(1+$N$89+$Q$15*S124/36500)</f>
        <v>4228.6580317808221</v>
      </c>
      <c r="W124" s="32">
        <f t="shared" si="28"/>
        <v>4313.2311924164387</v>
      </c>
      <c r="X124" s="32">
        <f t="shared" si="29"/>
        <v>4397.8043530520554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4639</v>
      </c>
      <c r="AQ124" t="s">
        <v>25</v>
      </c>
    </row>
    <row r="125" spans="6:46">
      <c r="F125" s="215" t="s">
        <v>4363</v>
      </c>
      <c r="G125" s="215" t="s">
        <v>941</v>
      </c>
      <c r="H125" s="215" t="s">
        <v>4541</v>
      </c>
      <c r="I125" s="215" t="s">
        <v>937</v>
      </c>
      <c r="J125" s="215" t="s">
        <v>4811</v>
      </c>
      <c r="K125" s="168" t="s">
        <v>4243</v>
      </c>
      <c r="L125" s="169">
        <v>1100000</v>
      </c>
      <c r="M125" s="169">
        <v>1637000</v>
      </c>
      <c r="N125" s="168">
        <f t="shared" ref="N125:N133" si="33">(M125-L125)*100/L125</f>
        <v>48.81818181818182</v>
      </c>
      <c r="Q125" s="35">
        <v>8938737</v>
      </c>
      <c r="R125" s="5" t="s">
        <v>4670</v>
      </c>
      <c r="S125" s="5">
        <f>S124-1</f>
        <v>94</v>
      </c>
      <c r="T125" s="5" t="s">
        <v>4672</v>
      </c>
      <c r="U125" s="168">
        <v>5179.5</v>
      </c>
      <c r="V125" s="99">
        <f t="shared" si="32"/>
        <v>5611.0020164383568</v>
      </c>
      <c r="W125" s="32">
        <f t="shared" si="28"/>
        <v>5723.2220567671238</v>
      </c>
      <c r="X125" s="32">
        <f t="shared" si="29"/>
        <v>5835.4420970958909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4640</v>
      </c>
      <c r="AP125" t="s">
        <v>25</v>
      </c>
    </row>
    <row r="126" spans="6:46">
      <c r="F126" s="1">
        <v>3307.5</v>
      </c>
      <c r="G126" s="1">
        <f>P46</f>
        <v>4132.1000000000004</v>
      </c>
      <c r="H126" s="215" t="s">
        <v>4391</v>
      </c>
      <c r="I126" s="215">
        <v>3761</v>
      </c>
      <c r="J126" s="1">
        <f>I126*G126</f>
        <v>15540828.100000001</v>
      </c>
      <c r="K126" s="5" t="s">
        <v>4536</v>
      </c>
      <c r="L126" s="169">
        <v>1100000</v>
      </c>
      <c r="M126" s="169">
        <v>4748000</v>
      </c>
      <c r="N126" s="168">
        <f t="shared" si="33"/>
        <v>331.63636363636363</v>
      </c>
      <c r="Q126" s="35">
        <v>2595417</v>
      </c>
      <c r="R126" s="5" t="s">
        <v>4680</v>
      </c>
      <c r="S126" s="5">
        <f>S125-1</f>
        <v>93</v>
      </c>
      <c r="T126" s="5" t="s">
        <v>4681</v>
      </c>
      <c r="U126" s="168">
        <v>4803</v>
      </c>
      <c r="V126" s="99">
        <f t="shared" si="32"/>
        <v>5199.4514630136991</v>
      </c>
      <c r="W126" s="32">
        <f t="shared" si="28"/>
        <v>5303.4404922739732</v>
      </c>
      <c r="X126" s="32">
        <f t="shared" si="29"/>
        <v>5407.4295215342472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F127" s="1">
        <v>5249.5</v>
      </c>
      <c r="G127" s="1">
        <f>P50</f>
        <v>6336.2</v>
      </c>
      <c r="H127" s="215" t="s">
        <v>4395</v>
      </c>
      <c r="I127" s="215">
        <v>7163</v>
      </c>
      <c r="J127" s="1">
        <f>I127*G127</f>
        <v>45386200.600000001</v>
      </c>
      <c r="K127" s="5" t="s">
        <v>4537</v>
      </c>
      <c r="L127" s="169">
        <v>1100000</v>
      </c>
      <c r="M127" s="169">
        <v>5137000</v>
      </c>
      <c r="N127" s="168">
        <f t="shared" si="33"/>
        <v>367</v>
      </c>
      <c r="Q127" s="169">
        <v>2505816</v>
      </c>
      <c r="R127" s="168" t="s">
        <v>4680</v>
      </c>
      <c r="S127" s="168">
        <f>S126</f>
        <v>93</v>
      </c>
      <c r="T127" s="168" t="s">
        <v>4682</v>
      </c>
      <c r="U127" s="168">
        <v>3723</v>
      </c>
      <c r="V127" s="99">
        <f t="shared" si="32"/>
        <v>4030.3056000000006</v>
      </c>
      <c r="W127" s="32">
        <f t="shared" si="28"/>
        <v>4110.911712000001</v>
      </c>
      <c r="X127" s="32">
        <f t="shared" si="29"/>
        <v>4191.5178240000005</v>
      </c>
      <c r="AH127" s="149">
        <v>107</v>
      </c>
      <c r="AI127" s="189" t="s">
        <v>4637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1"/>
        <v>-3036600</v>
      </c>
      <c r="AN127" s="149" t="s">
        <v>4648</v>
      </c>
    </row>
    <row r="128" spans="6:46">
      <c r="F128" s="1">
        <v>519.79999999999995</v>
      </c>
      <c r="G128" s="1">
        <f>P51</f>
        <v>713.9</v>
      </c>
      <c r="H128" s="215" t="s">
        <v>4410</v>
      </c>
      <c r="I128" s="215">
        <v>0</v>
      </c>
      <c r="J128" s="1">
        <f>I128*G128</f>
        <v>0</v>
      </c>
      <c r="K128" s="19" t="s">
        <v>4391</v>
      </c>
      <c r="L128" s="169">
        <v>1100000</v>
      </c>
      <c r="M128" s="169">
        <v>4300000</v>
      </c>
      <c r="N128" s="168">
        <f t="shared" si="33"/>
        <v>290.90909090909093</v>
      </c>
      <c r="P128" s="114"/>
      <c r="Q128" s="169">
        <v>183283</v>
      </c>
      <c r="R128" s="212" t="s">
        <v>4684</v>
      </c>
      <c r="S128" s="212">
        <f>S127-1</f>
        <v>92</v>
      </c>
      <c r="T128" s="212" t="s">
        <v>4694</v>
      </c>
      <c r="U128" s="212">
        <v>347.5</v>
      </c>
      <c r="V128" s="99">
        <f t="shared" si="32"/>
        <v>375.91693150684932</v>
      </c>
      <c r="W128" s="32">
        <f t="shared" si="28"/>
        <v>383.43527013698633</v>
      </c>
      <c r="X128" s="32">
        <f t="shared" si="29"/>
        <v>390.95360876712328</v>
      </c>
      <c r="AH128" s="89">
        <v>108</v>
      </c>
      <c r="AI128" s="90" t="s">
        <v>4637</v>
      </c>
      <c r="AJ128" s="90">
        <v>39327293</v>
      </c>
      <c r="AK128" s="89">
        <v>4</v>
      </c>
      <c r="AL128" s="149">
        <f t="shared" si="34"/>
        <v>63</v>
      </c>
      <c r="AM128" s="189">
        <f t="shared" si="31"/>
        <v>2477619459</v>
      </c>
      <c r="AN128" s="89" t="s">
        <v>4649</v>
      </c>
    </row>
    <row r="129" spans="6:44">
      <c r="F129" s="1">
        <v>4051</v>
      </c>
      <c r="G129" s="1">
        <f>P52</f>
        <v>4913.1000000000004</v>
      </c>
      <c r="H129" s="215" t="s">
        <v>4538</v>
      </c>
      <c r="I129" s="215">
        <v>130</v>
      </c>
      <c r="J129" s="1">
        <f>I129*G129</f>
        <v>638703</v>
      </c>
      <c r="K129" s="5" t="s">
        <v>4410</v>
      </c>
      <c r="L129" s="169">
        <v>1100000</v>
      </c>
      <c r="M129" s="169">
        <v>3191000</v>
      </c>
      <c r="N129" s="168">
        <f t="shared" si="33"/>
        <v>190.09090909090909</v>
      </c>
      <c r="Q129" s="35">
        <v>559461</v>
      </c>
      <c r="R129" s="5" t="s">
        <v>4684</v>
      </c>
      <c r="S129" s="5">
        <f>S128</f>
        <v>92</v>
      </c>
      <c r="T129" s="5" t="s">
        <v>4691</v>
      </c>
      <c r="U129" s="212">
        <v>508.1</v>
      </c>
      <c r="V129" s="99">
        <f t="shared" si="32"/>
        <v>549.65005150684931</v>
      </c>
      <c r="W129" s="32">
        <f t="shared" si="28"/>
        <v>560.64305253698626</v>
      </c>
      <c r="X129" s="32">
        <f t="shared" si="29"/>
        <v>571.63605356712333</v>
      </c>
      <c r="AH129" s="89">
        <v>109</v>
      </c>
      <c r="AI129" s="90" t="s">
        <v>4664</v>
      </c>
      <c r="AJ129" s="90">
        <v>8749050</v>
      </c>
      <c r="AK129" s="89">
        <v>1</v>
      </c>
      <c r="AL129" s="89">
        <f t="shared" si="34"/>
        <v>59</v>
      </c>
      <c r="AM129" s="90">
        <f t="shared" si="31"/>
        <v>516193950</v>
      </c>
      <c r="AN129" s="89" t="s">
        <v>4668</v>
      </c>
      <c r="AQ129" t="s">
        <v>25</v>
      </c>
    </row>
    <row r="130" spans="6:44">
      <c r="F130" s="215"/>
      <c r="G130" s="215"/>
      <c r="H130" s="215"/>
      <c r="I130" s="215"/>
      <c r="J130" s="1">
        <f>SUM(J126:J129)</f>
        <v>61565731.700000003</v>
      </c>
      <c r="K130" s="5" t="s">
        <v>4538</v>
      </c>
      <c r="L130" s="169">
        <v>1100000</v>
      </c>
      <c r="M130" s="169">
        <v>5623000</v>
      </c>
      <c r="N130" s="168">
        <f t="shared" si="33"/>
        <v>411.18181818181819</v>
      </c>
      <c r="Q130" s="35">
        <v>9376000</v>
      </c>
      <c r="R130" s="5" t="s">
        <v>4684</v>
      </c>
      <c r="S130" s="5">
        <f>S129</f>
        <v>92</v>
      </c>
      <c r="T130" s="5" t="s">
        <v>4692</v>
      </c>
      <c r="U130" s="212">
        <v>3184.1</v>
      </c>
      <c r="V130" s="99">
        <f t="shared" si="32"/>
        <v>3444.4808679452053</v>
      </c>
      <c r="W130" s="32">
        <f t="shared" si="28"/>
        <v>3513.3704853041095</v>
      </c>
      <c r="X130" s="32">
        <f t="shared" si="29"/>
        <v>3582.2601026630136</v>
      </c>
      <c r="Z130" t="s">
        <v>25</v>
      </c>
      <c r="AH130" s="99">
        <v>110</v>
      </c>
      <c r="AI130" s="113" t="s">
        <v>4670</v>
      </c>
      <c r="AJ130" s="113">
        <v>60000</v>
      </c>
      <c r="AK130" s="99">
        <v>1</v>
      </c>
      <c r="AL130" s="99">
        <f t="shared" si="34"/>
        <v>58</v>
      </c>
      <c r="AM130" s="117">
        <f t="shared" si="31"/>
        <v>3480000</v>
      </c>
      <c r="AN130" s="99" t="s">
        <v>4671</v>
      </c>
    </row>
    <row r="131" spans="6:44">
      <c r="F131" s="215"/>
      <c r="G131" s="215"/>
      <c r="H131" s="215"/>
      <c r="I131" s="215"/>
      <c r="J131" s="215" t="s">
        <v>6</v>
      </c>
      <c r="K131" s="19" t="s">
        <v>4395</v>
      </c>
      <c r="L131" s="169">
        <v>1100000</v>
      </c>
      <c r="M131" s="169">
        <v>7728000</v>
      </c>
      <c r="N131" s="168">
        <f t="shared" si="33"/>
        <v>602.5454545454545</v>
      </c>
      <c r="Q131" s="169">
        <v>128675</v>
      </c>
      <c r="R131" s="212" t="s">
        <v>4684</v>
      </c>
      <c r="S131" s="212">
        <f t="shared" ref="S131" si="35">S130</f>
        <v>92</v>
      </c>
      <c r="T131" s="212" t="s">
        <v>4693</v>
      </c>
      <c r="U131" s="212">
        <v>699.9</v>
      </c>
      <c r="V131" s="99">
        <f t="shared" si="32"/>
        <v>757.13456219178079</v>
      </c>
      <c r="W131" s="32">
        <f t="shared" si="28"/>
        <v>772.27725343561644</v>
      </c>
      <c r="X131" s="32">
        <f t="shared" si="29"/>
        <v>787.4199446794521</v>
      </c>
      <c r="AH131" s="20">
        <v>111</v>
      </c>
      <c r="AI131" s="117" t="s">
        <v>4680</v>
      </c>
      <c r="AJ131" s="117">
        <v>4750000</v>
      </c>
      <c r="AK131" s="20">
        <v>0</v>
      </c>
      <c r="AL131" s="99">
        <f t="shared" si="34"/>
        <v>57</v>
      </c>
      <c r="AM131" s="117">
        <f t="shared" si="31"/>
        <v>270750000</v>
      </c>
      <c r="AN131" s="20"/>
    </row>
    <row r="132" spans="6:44">
      <c r="K132" s="5" t="s">
        <v>4540</v>
      </c>
      <c r="L132" s="169">
        <v>1100000</v>
      </c>
      <c r="M132" s="169">
        <v>2904000</v>
      </c>
      <c r="N132" s="168">
        <f t="shared" si="33"/>
        <v>164</v>
      </c>
      <c r="Q132" s="35">
        <v>13100555</v>
      </c>
      <c r="R132" s="5" t="s">
        <v>4705</v>
      </c>
      <c r="S132" s="5">
        <f>S131-1</f>
        <v>91</v>
      </c>
      <c r="T132" s="5" t="s">
        <v>4706</v>
      </c>
      <c r="U132" s="212">
        <v>3180.5</v>
      </c>
      <c r="V132" s="99">
        <f t="shared" si="32"/>
        <v>3438.146641095891</v>
      </c>
      <c r="W132" s="32">
        <f t="shared" si="28"/>
        <v>3506.9095739178088</v>
      </c>
      <c r="X132" s="32">
        <f t="shared" si="29"/>
        <v>3575.6725067397269</v>
      </c>
      <c r="AH132" s="89">
        <v>112</v>
      </c>
      <c r="AI132" s="90" t="s">
        <v>4680</v>
      </c>
      <c r="AJ132" s="90">
        <v>13101160</v>
      </c>
      <c r="AK132" s="89">
        <v>1</v>
      </c>
      <c r="AL132" s="89">
        <f t="shared" si="34"/>
        <v>57</v>
      </c>
      <c r="AM132" s="90">
        <f t="shared" si="31"/>
        <v>746766120</v>
      </c>
      <c r="AN132" s="89" t="s">
        <v>4685</v>
      </c>
      <c r="AQ132" t="s">
        <v>25</v>
      </c>
    </row>
    <row r="133" spans="6:44">
      <c r="K133" s="56" t="s">
        <v>1086</v>
      </c>
      <c r="L133" s="169">
        <v>1100000</v>
      </c>
      <c r="M133" s="169">
        <v>3400000</v>
      </c>
      <c r="N133" s="168">
        <f t="shared" si="33"/>
        <v>209.09090909090909</v>
      </c>
      <c r="P133" s="114"/>
      <c r="Q133" s="35">
        <v>622942</v>
      </c>
      <c r="R133" s="5" t="s">
        <v>4705</v>
      </c>
      <c r="S133" s="5">
        <f>S132</f>
        <v>91</v>
      </c>
      <c r="T133" s="5" t="s">
        <v>4707</v>
      </c>
      <c r="U133" s="212">
        <v>503.3</v>
      </c>
      <c r="V133" s="99">
        <f t="shared" si="32"/>
        <v>544.07143671232882</v>
      </c>
      <c r="W133" s="32">
        <f t="shared" si="28"/>
        <v>554.9528654465754</v>
      </c>
      <c r="X133" s="32">
        <f t="shared" si="29"/>
        <v>565.83429418082198</v>
      </c>
      <c r="AH133" s="20">
        <v>113</v>
      </c>
      <c r="AI133" s="117" t="s">
        <v>4684</v>
      </c>
      <c r="AJ133" s="117">
        <v>-980000</v>
      </c>
      <c r="AK133" s="20">
        <v>0</v>
      </c>
      <c r="AL133" s="99">
        <f t="shared" si="34"/>
        <v>56</v>
      </c>
      <c r="AM133" s="117">
        <f t="shared" si="31"/>
        <v>-54880000</v>
      </c>
      <c r="AN133" s="20"/>
    </row>
    <row r="134" spans="6:44">
      <c r="F134" s="215"/>
      <c r="G134" s="215"/>
      <c r="H134" s="215"/>
      <c r="I134" s="215"/>
      <c r="J134" s="215" t="s">
        <v>4962</v>
      </c>
      <c r="K134" s="246" t="s">
        <v>4569</v>
      </c>
      <c r="Q134" s="35">
        <v>1472140</v>
      </c>
      <c r="R134" s="5" t="s">
        <v>4712</v>
      </c>
      <c r="S134" s="5">
        <f>S133-3</f>
        <v>88</v>
      </c>
      <c r="T134" s="5" t="s">
        <v>4716</v>
      </c>
      <c r="U134" s="168">
        <v>502</v>
      </c>
      <c r="V134" s="99">
        <f t="shared" si="32"/>
        <v>541.51083835616441</v>
      </c>
      <c r="W134" s="32">
        <f t="shared" si="28"/>
        <v>552.34105512328767</v>
      </c>
      <c r="X134" s="32">
        <f t="shared" si="29"/>
        <v>563.17127189041105</v>
      </c>
      <c r="AH134" s="89">
        <v>114</v>
      </c>
      <c r="AI134" s="90" t="s">
        <v>4684</v>
      </c>
      <c r="AJ134" s="90">
        <v>13301790</v>
      </c>
      <c r="AK134" s="89">
        <v>0</v>
      </c>
      <c r="AL134" s="89">
        <f t="shared" si="34"/>
        <v>56</v>
      </c>
      <c r="AM134" s="90">
        <f t="shared" si="31"/>
        <v>744900240</v>
      </c>
      <c r="AN134" s="89" t="s">
        <v>4685</v>
      </c>
    </row>
    <row r="135" spans="6:44">
      <c r="F135" s="215" t="s">
        <v>4363</v>
      </c>
      <c r="G135" s="215" t="s">
        <v>941</v>
      </c>
      <c r="H135" s="215" t="s">
        <v>4541</v>
      </c>
      <c r="I135" s="215" t="s">
        <v>937</v>
      </c>
      <c r="J135" s="215" t="s">
        <v>4811</v>
      </c>
      <c r="K135" s="246" t="s">
        <v>4570</v>
      </c>
      <c r="Q135" s="35">
        <v>4394591</v>
      </c>
      <c r="R135" s="5" t="s">
        <v>4719</v>
      </c>
      <c r="S135" s="5">
        <f>S134-1</f>
        <v>87</v>
      </c>
      <c r="T135" s="5" t="s">
        <v>4720</v>
      </c>
      <c r="U135" s="168">
        <v>481.7</v>
      </c>
      <c r="V135" s="99">
        <f t="shared" si="32"/>
        <v>519.24356602739726</v>
      </c>
      <c r="W135" s="32">
        <f t="shared" si="28"/>
        <v>529.62843734794524</v>
      </c>
      <c r="X135" s="32">
        <f t="shared" si="29"/>
        <v>540.01330866849321</v>
      </c>
      <c r="Y135" t="s">
        <v>25</v>
      </c>
      <c r="AH135" s="20">
        <v>115</v>
      </c>
      <c r="AI135" s="117" t="s">
        <v>4684</v>
      </c>
      <c r="AJ135" s="117">
        <v>404000</v>
      </c>
      <c r="AK135" s="20">
        <v>5</v>
      </c>
      <c r="AL135" s="99">
        <f t="shared" si="34"/>
        <v>56</v>
      </c>
      <c r="AM135" s="117">
        <f t="shared" si="31"/>
        <v>22624000</v>
      </c>
      <c r="AN135" s="20" t="s">
        <v>4695</v>
      </c>
    </row>
    <row r="136" spans="6:44">
      <c r="F136" s="1">
        <v>3775.1</v>
      </c>
      <c r="G136" s="1">
        <f>P46</f>
        <v>4132.1000000000004</v>
      </c>
      <c r="H136" s="215" t="s">
        <v>4391</v>
      </c>
      <c r="I136" s="215">
        <v>1000</v>
      </c>
      <c r="J136" s="1">
        <f>I136*G136</f>
        <v>4132100.0000000005</v>
      </c>
      <c r="K136" s="246" t="s">
        <v>4571</v>
      </c>
      <c r="Q136" s="117">
        <v>4085110</v>
      </c>
      <c r="R136" s="19" t="s">
        <v>4722</v>
      </c>
      <c r="S136" s="19">
        <f>S135-1</f>
        <v>86</v>
      </c>
      <c r="T136" s="19" t="s">
        <v>4723</v>
      </c>
      <c r="U136" s="215">
        <v>3115.9</v>
      </c>
      <c r="V136" s="99">
        <f t="shared" si="32"/>
        <v>3356.3621128767127</v>
      </c>
      <c r="W136" s="32">
        <f t="shared" si="28"/>
        <v>3423.489355134247</v>
      </c>
      <c r="X136" s="32">
        <f t="shared" si="29"/>
        <v>3490.6165973917814</v>
      </c>
      <c r="Y136" t="s">
        <v>25</v>
      </c>
      <c r="AH136" s="89">
        <v>116</v>
      </c>
      <c r="AI136" s="90" t="s">
        <v>4719</v>
      </c>
      <c r="AJ136" s="90">
        <v>4291628</v>
      </c>
      <c r="AK136" s="89">
        <v>2</v>
      </c>
      <c r="AL136" s="89">
        <f t="shared" si="34"/>
        <v>51</v>
      </c>
      <c r="AM136" s="90">
        <f t="shared" si="31"/>
        <v>218873028</v>
      </c>
      <c r="AN136" s="89" t="s">
        <v>4721</v>
      </c>
    </row>
    <row r="137" spans="6:44">
      <c r="F137" s="1">
        <v>6250.1</v>
      </c>
      <c r="G137" s="1">
        <f>P50</f>
        <v>6336.2</v>
      </c>
      <c r="H137" s="215" t="s">
        <v>4963</v>
      </c>
      <c r="I137" s="215">
        <v>1000</v>
      </c>
      <c r="J137" s="1">
        <f t="shared" ref="J137:J139" si="36">I137*G137</f>
        <v>6336200</v>
      </c>
      <c r="Q137" s="117">
        <v>205386</v>
      </c>
      <c r="R137" s="19" t="s">
        <v>4724</v>
      </c>
      <c r="S137" s="19">
        <f>S136</f>
        <v>86</v>
      </c>
      <c r="T137" s="19" t="s">
        <v>4725</v>
      </c>
      <c r="U137" s="215">
        <v>178.1</v>
      </c>
      <c r="V137" s="99">
        <f t="shared" si="32"/>
        <v>191.84444054794523</v>
      </c>
      <c r="W137" s="32">
        <f t="shared" si="28"/>
        <v>195.68132935890412</v>
      </c>
      <c r="X137" s="32">
        <f t="shared" si="29"/>
        <v>199.51821816986305</v>
      </c>
      <c r="Y137" t="s">
        <v>25</v>
      </c>
      <c r="Z137" t="s">
        <v>25</v>
      </c>
      <c r="AH137" s="20">
        <v>117</v>
      </c>
      <c r="AI137" s="117" t="s">
        <v>4726</v>
      </c>
      <c r="AJ137" s="117">
        <v>1000</v>
      </c>
      <c r="AK137" s="20">
        <v>5</v>
      </c>
      <c r="AL137" s="20">
        <f t="shared" si="34"/>
        <v>49</v>
      </c>
      <c r="AM137" s="117">
        <f t="shared" si="31"/>
        <v>49000</v>
      </c>
      <c r="AN137" s="20"/>
      <c r="AQ137" t="s">
        <v>25</v>
      </c>
    </row>
    <row r="138" spans="6:44">
      <c r="F138" s="1">
        <v>183</v>
      </c>
      <c r="G138" s="1">
        <f>P57</f>
        <v>218.7</v>
      </c>
      <c r="H138" s="215" t="s">
        <v>4243</v>
      </c>
      <c r="I138" s="215">
        <v>108344</v>
      </c>
      <c r="J138" s="1">
        <f t="shared" si="36"/>
        <v>23694832.799999997</v>
      </c>
      <c r="Q138" s="117">
        <v>8398607</v>
      </c>
      <c r="R138" s="19" t="s">
        <v>4735</v>
      </c>
      <c r="S138" s="19">
        <f>S137-8</f>
        <v>78</v>
      </c>
      <c r="T138" s="19" t="s">
        <v>4737</v>
      </c>
      <c r="U138" s="215">
        <v>3120.5</v>
      </c>
      <c r="V138" s="99">
        <f t="shared" si="32"/>
        <v>3342.166641095891</v>
      </c>
      <c r="W138" s="32">
        <f t="shared" si="28"/>
        <v>3409.009973917809</v>
      </c>
      <c r="X138" s="32">
        <f t="shared" si="29"/>
        <v>3475.8533067397266</v>
      </c>
      <c r="Y138" t="s">
        <v>25</v>
      </c>
      <c r="AH138" s="121">
        <v>118</v>
      </c>
      <c r="AI138" s="79" t="s">
        <v>4734</v>
      </c>
      <c r="AJ138" s="79">
        <v>8739459</v>
      </c>
      <c r="AK138" s="121">
        <v>2</v>
      </c>
      <c r="AL138" s="121">
        <f t="shared" si="34"/>
        <v>44</v>
      </c>
      <c r="AM138" s="79">
        <f t="shared" si="31"/>
        <v>384536196</v>
      </c>
      <c r="AN138" s="121" t="s">
        <v>4668</v>
      </c>
    </row>
    <row r="139" spans="6:44">
      <c r="F139" s="1">
        <v>4485.1000000000004</v>
      </c>
      <c r="G139" s="1">
        <f>P52</f>
        <v>4913.1000000000004</v>
      </c>
      <c r="H139" s="215" t="s">
        <v>4538</v>
      </c>
      <c r="I139" s="215">
        <v>3</v>
      </c>
      <c r="J139" s="1">
        <f t="shared" si="36"/>
        <v>14739.300000000001</v>
      </c>
      <c r="Q139" s="117">
        <v>18565999</v>
      </c>
      <c r="R139" s="19" t="s">
        <v>4738</v>
      </c>
      <c r="S139" s="19">
        <f>S138-1</f>
        <v>77</v>
      </c>
      <c r="T139" s="19" t="s">
        <v>4746</v>
      </c>
      <c r="U139" s="215">
        <v>3112.4</v>
      </c>
      <c r="V139" s="99">
        <f t="shared" si="32"/>
        <v>3331.1036580821919</v>
      </c>
      <c r="W139" s="32">
        <f t="shared" si="28"/>
        <v>3397.725731243836</v>
      </c>
      <c r="X139" s="32">
        <f t="shared" si="29"/>
        <v>3464.3478044054796</v>
      </c>
      <c r="AH139" s="121">
        <v>119</v>
      </c>
      <c r="AI139" s="79" t="s">
        <v>4735</v>
      </c>
      <c r="AJ139" s="79">
        <v>17595278</v>
      </c>
      <c r="AK139" s="121">
        <v>1</v>
      </c>
      <c r="AL139" s="121">
        <f t="shared" si="34"/>
        <v>42</v>
      </c>
      <c r="AM139" s="79">
        <f t="shared" si="31"/>
        <v>739001676</v>
      </c>
      <c r="AN139" s="121" t="s">
        <v>4739</v>
      </c>
    </row>
    <row r="140" spans="6:44">
      <c r="F140" s="215"/>
      <c r="G140" s="215"/>
      <c r="H140" s="215"/>
      <c r="I140" s="215"/>
      <c r="J140" s="1">
        <f>SUM(J136:J139)</f>
        <v>34177872.099999994</v>
      </c>
      <c r="Q140" s="117">
        <v>5924703</v>
      </c>
      <c r="R140" s="19" t="s">
        <v>4749</v>
      </c>
      <c r="S140" s="19">
        <f>S139-3</f>
        <v>74</v>
      </c>
      <c r="T140" s="19" t="s">
        <v>4847</v>
      </c>
      <c r="U140" s="215">
        <v>489</v>
      </c>
      <c r="V140" s="99">
        <f t="shared" si="32"/>
        <v>522.23592328767131</v>
      </c>
      <c r="W140" s="32">
        <f t="shared" si="28"/>
        <v>532.68064175342477</v>
      </c>
      <c r="X140" s="32">
        <f t="shared" si="29"/>
        <v>543.12536021917822</v>
      </c>
      <c r="AH140" s="121">
        <v>120</v>
      </c>
      <c r="AI140" s="79" t="s">
        <v>4738</v>
      </c>
      <c r="AJ140" s="79">
        <v>13335309</v>
      </c>
      <c r="AK140" s="121">
        <v>13</v>
      </c>
      <c r="AL140" s="121">
        <f t="shared" si="34"/>
        <v>41</v>
      </c>
      <c r="AM140" s="79">
        <f t="shared" si="31"/>
        <v>546747669</v>
      </c>
      <c r="AN140" s="121" t="s">
        <v>4685</v>
      </c>
    </row>
    <row r="141" spans="6:44">
      <c r="F141" s="215"/>
      <c r="G141" s="215"/>
      <c r="H141" s="215"/>
      <c r="I141" s="215"/>
      <c r="J141" s="215" t="s">
        <v>6</v>
      </c>
      <c r="Q141" s="117">
        <v>164801</v>
      </c>
      <c r="R141" s="19" t="s">
        <v>4762</v>
      </c>
      <c r="S141" s="19">
        <f>S140-2</f>
        <v>72</v>
      </c>
      <c r="T141" s="19" t="s">
        <v>4767</v>
      </c>
      <c r="U141" s="215">
        <v>3095.1</v>
      </c>
      <c r="V141" s="99">
        <f t="shared" si="32"/>
        <v>3300.7163967123288</v>
      </c>
      <c r="W141" s="32">
        <f t="shared" si="28"/>
        <v>3366.7307246465753</v>
      </c>
      <c r="X141" s="32">
        <f t="shared" si="29"/>
        <v>3432.7450525808222</v>
      </c>
      <c r="AA141" t="s">
        <v>25</v>
      </c>
      <c r="AH141" s="161">
        <v>121</v>
      </c>
      <c r="AI141" s="230" t="s">
        <v>4809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1"/>
        <v>1400000000</v>
      </c>
      <c r="AN141" s="161" t="s">
        <v>4812</v>
      </c>
      <c r="AP141" t="s">
        <v>25</v>
      </c>
    </row>
    <row r="142" spans="6:44">
      <c r="M142">
        <v>236</v>
      </c>
      <c r="N142">
        <v>3</v>
      </c>
      <c r="O142">
        <f>M142*N142</f>
        <v>708</v>
      </c>
      <c r="Q142" s="117">
        <v>223613</v>
      </c>
      <c r="R142" s="19" t="s">
        <v>4762</v>
      </c>
      <c r="S142" s="19">
        <f>S141</f>
        <v>72</v>
      </c>
      <c r="T142" s="19" t="s">
        <v>4768</v>
      </c>
      <c r="U142" s="215">
        <v>4637.1000000000004</v>
      </c>
      <c r="V142" s="99">
        <f t="shared" si="32"/>
        <v>4945.1558926027401</v>
      </c>
      <c r="W142" s="32">
        <f t="shared" si="28"/>
        <v>5044.0590104547946</v>
      </c>
      <c r="X142" s="32">
        <f t="shared" si="29"/>
        <v>5142.96212830685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1"/>
        <v>510000</v>
      </c>
      <c r="AN142" s="20"/>
    </row>
    <row r="143" spans="6:44">
      <c r="M143">
        <v>126</v>
      </c>
      <c r="N143">
        <v>1</v>
      </c>
      <c r="O143">
        <f>M143*N143</f>
        <v>126</v>
      </c>
      <c r="Q143" s="117">
        <v>989631</v>
      </c>
      <c r="R143" s="19" t="s">
        <v>4762</v>
      </c>
      <c r="S143" s="19">
        <f>S142</f>
        <v>72</v>
      </c>
      <c r="T143" s="19" t="s">
        <v>4769</v>
      </c>
      <c r="U143" s="215">
        <v>3863</v>
      </c>
      <c r="V143" s="99">
        <f t="shared" si="32"/>
        <v>4119.630202739726</v>
      </c>
      <c r="W143" s="32">
        <f t="shared" si="28"/>
        <v>4202.0228067945209</v>
      </c>
      <c r="X143" s="32">
        <f t="shared" si="29"/>
        <v>4284.4154108493149</v>
      </c>
      <c r="AH143" s="20">
        <v>123</v>
      </c>
      <c r="AI143" s="117" t="s">
        <v>4887</v>
      </c>
      <c r="AJ143" s="117">
        <v>600000</v>
      </c>
      <c r="AK143" s="20">
        <v>1</v>
      </c>
      <c r="AL143" s="20">
        <f t="shared" si="34"/>
        <v>14</v>
      </c>
      <c r="AM143" s="117">
        <f t="shared" si="31"/>
        <v>8400000</v>
      </c>
      <c r="AN143" s="20"/>
      <c r="AR143" t="s">
        <v>25</v>
      </c>
    </row>
    <row r="144" spans="6:44">
      <c r="L144">
        <v>821</v>
      </c>
      <c r="M144">
        <v>590</v>
      </c>
      <c r="N144">
        <v>0</v>
      </c>
      <c r="O144" s="96">
        <f>M144*N144</f>
        <v>0</v>
      </c>
      <c r="Q144" s="117">
        <v>5001091</v>
      </c>
      <c r="R144" s="19" t="s">
        <v>4772</v>
      </c>
      <c r="S144" s="19">
        <f>S143-1</f>
        <v>71</v>
      </c>
      <c r="T144" s="19" t="s">
        <v>4773</v>
      </c>
      <c r="U144" s="215">
        <v>3125</v>
      </c>
      <c r="V144" s="99">
        <f t="shared" si="32"/>
        <v>3330.205479452055</v>
      </c>
      <c r="W144" s="32">
        <f t="shared" si="28"/>
        <v>3396.8095890410959</v>
      </c>
      <c r="X144" s="32">
        <f t="shared" si="29"/>
        <v>3463.4136986301373</v>
      </c>
      <c r="AH144" s="20">
        <v>124</v>
      </c>
      <c r="AI144" s="117" t="s">
        <v>4895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10:44">
      <c r="Q145" s="117">
        <v>12497226</v>
      </c>
      <c r="R145" s="19" t="s">
        <v>4809</v>
      </c>
      <c r="S145" s="19">
        <f>S144-7</f>
        <v>64</v>
      </c>
      <c r="T145" s="19" t="s">
        <v>4813</v>
      </c>
      <c r="U145" s="215">
        <v>3307.5</v>
      </c>
      <c r="V145" s="99">
        <f t="shared" si="32"/>
        <v>3506.9286575342467</v>
      </c>
      <c r="W145" s="32">
        <f t="shared" si="28"/>
        <v>3577.0672306849315</v>
      </c>
      <c r="X145" s="32">
        <f t="shared" si="29"/>
        <v>3647.2058038356167</v>
      </c>
      <c r="AH145" s="20">
        <v>125</v>
      </c>
      <c r="AI145" s="117" t="s">
        <v>4902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J146" t="s">
        <v>25</v>
      </c>
      <c r="O146">
        <f>O142+O143+O144</f>
        <v>834</v>
      </c>
      <c r="Q146" s="117">
        <v>24695044</v>
      </c>
      <c r="R146" s="19" t="s">
        <v>4809</v>
      </c>
      <c r="S146" s="19">
        <f>S145</f>
        <v>64</v>
      </c>
      <c r="T146" s="19" t="s">
        <v>4814</v>
      </c>
      <c r="U146" s="215">
        <v>5249.5</v>
      </c>
      <c r="V146" s="99">
        <f t="shared" si="32"/>
        <v>5566.0232767123289</v>
      </c>
      <c r="W146" s="32">
        <f t="shared" si="28"/>
        <v>5677.3437422465759</v>
      </c>
      <c r="X146" s="32">
        <f t="shared" si="29"/>
        <v>5788.6642077808219</v>
      </c>
      <c r="AH146" s="23">
        <v>126</v>
      </c>
      <c r="AI146" s="35" t="s">
        <v>4910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4890</v>
      </c>
    </row>
    <row r="147" spans="10:44">
      <c r="Q147" s="117">
        <v>529210</v>
      </c>
      <c r="R147" s="19" t="s">
        <v>4809</v>
      </c>
      <c r="S147" s="19">
        <f>S146</f>
        <v>64</v>
      </c>
      <c r="T147" s="19" t="s">
        <v>4815</v>
      </c>
      <c r="U147" s="215">
        <v>4051</v>
      </c>
      <c r="V147" s="99">
        <f t="shared" si="32"/>
        <v>4295.2586520547948</v>
      </c>
      <c r="W147" s="32">
        <f t="shared" si="28"/>
        <v>4381.1638250958904</v>
      </c>
      <c r="X147" s="32">
        <f t="shared" si="29"/>
        <v>4467.0689981369869</v>
      </c>
      <c r="Y147" s="96"/>
      <c r="Z147" s="96"/>
      <c r="AH147" s="20">
        <v>127</v>
      </c>
      <c r="AI147" s="117" t="s">
        <v>4921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5416530</v>
      </c>
      <c r="R148" s="19" t="s">
        <v>4821</v>
      </c>
      <c r="S148" s="19">
        <f>S147-1</f>
        <v>63</v>
      </c>
      <c r="T148" s="19" t="s">
        <v>4882</v>
      </c>
      <c r="U148" s="215">
        <v>5235</v>
      </c>
      <c r="V148" s="99">
        <f t="shared" si="32"/>
        <v>5546.6330958904118</v>
      </c>
      <c r="W148" s="32">
        <f t="shared" si="28"/>
        <v>5657.56575780822</v>
      </c>
      <c r="X148" s="32">
        <f t="shared" si="29"/>
        <v>5768.4984197260283</v>
      </c>
      <c r="Y148" s="96"/>
      <c r="Z148" s="96"/>
      <c r="AH148" s="99">
        <v>128</v>
      </c>
      <c r="AI148" s="113" t="s">
        <v>4935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153812</v>
      </c>
      <c r="R149" s="19" t="s">
        <v>4853</v>
      </c>
      <c r="S149" s="19">
        <f>S148-6</f>
        <v>57</v>
      </c>
      <c r="T149" s="19" t="s">
        <v>4854</v>
      </c>
      <c r="U149" s="215">
        <v>537.20000000000005</v>
      </c>
      <c r="V149" s="99">
        <f t="shared" si="32"/>
        <v>566.70626191780832</v>
      </c>
      <c r="W149" s="32">
        <f t="shared" si="28"/>
        <v>578.04038715616446</v>
      </c>
      <c r="X149" s="32">
        <f t="shared" si="29"/>
        <v>589.37451239452071</v>
      </c>
      <c r="Y149" s="96"/>
      <c r="Z149" s="96"/>
      <c r="AH149" s="99">
        <v>129</v>
      </c>
      <c r="AI149" s="113" t="s">
        <v>4964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1837912</v>
      </c>
      <c r="R150" s="19" t="s">
        <v>4857</v>
      </c>
      <c r="S150" s="19">
        <f>S149-1</f>
        <v>56</v>
      </c>
      <c r="T150" s="19" t="s">
        <v>4858</v>
      </c>
      <c r="U150" s="215">
        <v>296.60000000000002</v>
      </c>
      <c r="V150" s="99">
        <f t="shared" si="32"/>
        <v>312.66353095890418</v>
      </c>
      <c r="W150" s="32">
        <f t="shared" si="28"/>
        <v>318.91680157808224</v>
      </c>
      <c r="X150" s="32">
        <f t="shared" si="29"/>
        <v>325.17007219726037</v>
      </c>
      <c r="Y150" s="96"/>
      <c r="Z150" s="96"/>
      <c r="AA150" s="114"/>
      <c r="AC150" s="114"/>
      <c r="AD150" s="114"/>
      <c r="AH150" s="99">
        <v>130</v>
      </c>
      <c r="AI150" s="113" t="s">
        <v>4966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4971</v>
      </c>
      <c r="AP150" t="s">
        <v>25</v>
      </c>
    </row>
    <row r="151" spans="10:44">
      <c r="P151" s="114"/>
      <c r="Q151" s="117">
        <v>104025</v>
      </c>
      <c r="R151" s="19" t="s">
        <v>974</v>
      </c>
      <c r="S151" s="19">
        <f>S150-3</f>
        <v>53</v>
      </c>
      <c r="T151" s="19" t="s">
        <v>4875</v>
      </c>
      <c r="U151" s="215">
        <v>295</v>
      </c>
      <c r="V151" s="99">
        <f t="shared" si="32"/>
        <v>310.29797260273978</v>
      </c>
      <c r="W151" s="32">
        <f t="shared" si="28"/>
        <v>316.50393205479457</v>
      </c>
      <c r="X151" s="32">
        <f t="shared" si="29"/>
        <v>322.70989150684937</v>
      </c>
      <c r="Y151" s="96"/>
      <c r="Z151" s="96"/>
      <c r="AA151" s="114"/>
      <c r="AC151" s="114"/>
      <c r="AH151" s="99">
        <v>131</v>
      </c>
      <c r="AI151" s="113" t="s">
        <v>4966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4970</v>
      </c>
    </row>
    <row r="152" spans="10:44">
      <c r="Q152" s="117">
        <v>10926171</v>
      </c>
      <c r="R152" s="19" t="s">
        <v>4884</v>
      </c>
      <c r="S152" s="19">
        <f>S151-2</f>
        <v>51</v>
      </c>
      <c r="T152" s="19" t="s">
        <v>4886</v>
      </c>
      <c r="U152" s="215">
        <v>5355.4</v>
      </c>
      <c r="V152" s="99">
        <f t="shared" si="32"/>
        <v>5624.9013347945202</v>
      </c>
      <c r="W152" s="32">
        <f t="shared" si="28"/>
        <v>5737.3993614904102</v>
      </c>
      <c r="X152" s="32">
        <f t="shared" si="29"/>
        <v>5849.8973881863012</v>
      </c>
      <c r="Y152" s="96"/>
      <c r="Z152" s="96"/>
      <c r="AA152" s="114"/>
      <c r="AC152" s="114"/>
      <c r="AD152" s="114"/>
      <c r="AH152" s="99">
        <v>132</v>
      </c>
      <c r="AI152" s="113" t="s">
        <v>4989</v>
      </c>
      <c r="AJ152" s="113">
        <v>2520000</v>
      </c>
      <c r="AK152" s="99">
        <v>12</v>
      </c>
      <c r="AL152" s="20">
        <f t="shared" si="39"/>
        <v>12</v>
      </c>
      <c r="AM152" s="117">
        <f t="shared" si="40"/>
        <v>30240000</v>
      </c>
      <c r="AN152" s="20"/>
    </row>
    <row r="153" spans="10:44">
      <c r="Q153" s="117">
        <v>146418</v>
      </c>
      <c r="R153" s="19" t="s">
        <v>4887</v>
      </c>
      <c r="S153" s="19">
        <f>S152-1</f>
        <v>50</v>
      </c>
      <c r="T153" s="19" t="s">
        <v>4888</v>
      </c>
      <c r="U153" s="215">
        <v>304.89999999999998</v>
      </c>
      <c r="V153" s="99">
        <f t="shared" si="32"/>
        <v>320.00967452054795</v>
      </c>
      <c r="W153" s="32">
        <f t="shared" si="28"/>
        <v>326.40986801095892</v>
      </c>
      <c r="X153" s="32">
        <f t="shared" si="29"/>
        <v>332.81006150136989</v>
      </c>
      <c r="Y153" s="96"/>
      <c r="Z153" s="96"/>
      <c r="AH153" s="99">
        <v>133</v>
      </c>
      <c r="AI153" s="113" t="s">
        <v>5029</v>
      </c>
      <c r="AJ153" s="113">
        <v>1400000</v>
      </c>
      <c r="AK153" s="99">
        <v>4</v>
      </c>
      <c r="AL153" s="20">
        <f t="shared" si="39"/>
        <v>4</v>
      </c>
      <c r="AM153" s="117">
        <f t="shared" si="40"/>
        <v>5600000</v>
      </c>
      <c r="AN153" s="20"/>
    </row>
    <row r="154" spans="10:44">
      <c r="Q154" s="169">
        <v>101344</v>
      </c>
      <c r="R154" s="215" t="s">
        <v>4910</v>
      </c>
      <c r="S154" s="215">
        <f>S153-5</f>
        <v>45</v>
      </c>
      <c r="T154" s="215" t="s">
        <v>4913</v>
      </c>
      <c r="U154" s="215">
        <v>113.6</v>
      </c>
      <c r="V154" s="99">
        <f t="shared" si="32"/>
        <v>118.79385424657535</v>
      </c>
      <c r="W154" s="32">
        <f t="shared" si="28"/>
        <v>121.16973133150685</v>
      </c>
      <c r="X154" s="32">
        <f t="shared" si="29"/>
        <v>123.54560841643837</v>
      </c>
      <c r="Y154" s="96"/>
      <c r="Z154" s="96"/>
      <c r="AH154" s="99">
        <v>134</v>
      </c>
      <c r="AI154" s="113" t="s">
        <v>5056</v>
      </c>
      <c r="AJ154" s="113">
        <v>1550000</v>
      </c>
      <c r="AK154" s="99">
        <v>2</v>
      </c>
      <c r="AL154" s="20">
        <f t="shared" si="39"/>
        <v>2</v>
      </c>
      <c r="AM154" s="117">
        <f t="shared" si="40"/>
        <v>3100000</v>
      </c>
      <c r="AN154" s="20"/>
    </row>
    <row r="155" spans="10:44">
      <c r="Q155" s="169">
        <v>2148718</v>
      </c>
      <c r="R155" s="215" t="s">
        <v>4910</v>
      </c>
      <c r="S155" s="215">
        <f>S154</f>
        <v>45</v>
      </c>
      <c r="T155" s="215" t="s">
        <v>4914</v>
      </c>
      <c r="U155" s="215">
        <v>3400.3</v>
      </c>
      <c r="V155" s="99">
        <f t="shared" si="32"/>
        <v>3555.7635791780831</v>
      </c>
      <c r="W155" s="32">
        <f t="shared" si="28"/>
        <v>3626.878850761645</v>
      </c>
      <c r="X155" s="32">
        <f t="shared" si="29"/>
        <v>3697.9941223452065</v>
      </c>
      <c r="Y155" s="96"/>
      <c r="Z155" s="96"/>
      <c r="AH155" s="99">
        <v>135</v>
      </c>
      <c r="AI155" s="113" t="s">
        <v>5001</v>
      </c>
      <c r="AJ155" s="113">
        <v>250000</v>
      </c>
      <c r="AK155" s="99">
        <v>1</v>
      </c>
      <c r="AL155" s="20">
        <f t="shared" si="39"/>
        <v>1</v>
      </c>
      <c r="AM155" s="117">
        <f t="shared" si="40"/>
        <v>250000</v>
      </c>
      <c r="AN155" s="20"/>
    </row>
    <row r="156" spans="10:44">
      <c r="P156" s="114"/>
      <c r="Q156" s="169">
        <v>119669</v>
      </c>
      <c r="R156" s="215" t="s">
        <v>981</v>
      </c>
      <c r="S156" s="215">
        <f>S155-2</f>
        <v>43</v>
      </c>
      <c r="T156" s="215" t="s">
        <v>4931</v>
      </c>
      <c r="U156" s="215">
        <v>3609.6</v>
      </c>
      <c r="V156" s="99">
        <f t="shared" ref="V156:V187" si="41">U156*(1+$N$89+$Q$15*S156/36500)</f>
        <v>3769.0948734246576</v>
      </c>
      <c r="W156" s="32">
        <f t="shared" si="28"/>
        <v>3844.4767708931508</v>
      </c>
      <c r="X156" s="32">
        <f t="shared" si="29"/>
        <v>3919.858668361644</v>
      </c>
      <c r="Y156" s="96"/>
      <c r="Z156" s="96"/>
      <c r="AH156" s="99"/>
      <c r="AI156" s="113"/>
      <c r="AJ156" s="113"/>
      <c r="AK156" s="99"/>
      <c r="AL156" s="20">
        <f t="shared" si="39"/>
        <v>0</v>
      </c>
      <c r="AM156" s="117">
        <f t="shared" si="40"/>
        <v>0</v>
      </c>
      <c r="AN156" s="20"/>
      <c r="AQ156" t="s">
        <v>25</v>
      </c>
    </row>
    <row r="157" spans="10:44">
      <c r="Q157" s="169">
        <v>102362</v>
      </c>
      <c r="R157" s="215" t="s">
        <v>4935</v>
      </c>
      <c r="S157" s="215">
        <f>S156-8</f>
        <v>35</v>
      </c>
      <c r="T157" s="215" t="s">
        <v>4938</v>
      </c>
      <c r="U157" s="215">
        <v>4430</v>
      </c>
      <c r="V157" s="99">
        <f t="shared" si="41"/>
        <v>4598.5584657534255</v>
      </c>
      <c r="W157" s="32">
        <f t="shared" si="28"/>
        <v>4690.5296350684939</v>
      </c>
      <c r="X157" s="32">
        <f t="shared" si="29"/>
        <v>4782.5008043835624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996877</v>
      </c>
      <c r="R158" s="215" t="s">
        <v>4964</v>
      </c>
      <c r="S158" s="215">
        <f>S157-10</f>
        <v>25</v>
      </c>
      <c r="T158" s="215" t="s">
        <v>4965</v>
      </c>
      <c r="U158" s="215">
        <v>4469.7</v>
      </c>
      <c r="V158" s="99">
        <f t="shared" si="41"/>
        <v>4605.480913972603</v>
      </c>
      <c r="W158" s="32">
        <f t="shared" si="28"/>
        <v>4697.5905322520548</v>
      </c>
      <c r="X158" s="32">
        <f t="shared" si="29"/>
        <v>4789.7001505315075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17086367</v>
      </c>
      <c r="R159" s="215" t="s">
        <v>4966</v>
      </c>
      <c r="S159" s="215">
        <f>S158-1</f>
        <v>24</v>
      </c>
      <c r="T159" s="215" t="s">
        <v>4974</v>
      </c>
      <c r="U159" s="215">
        <v>3751.1</v>
      </c>
      <c r="V159" s="99">
        <f t="shared" si="41"/>
        <v>3862.1736679452056</v>
      </c>
      <c r="W159" s="32">
        <f t="shared" si="28"/>
        <v>3939.4171413041099</v>
      </c>
      <c r="X159" s="32">
        <f t="shared" si="29"/>
        <v>4016.6606146630138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26970108</v>
      </c>
      <c r="R160" s="215" t="s">
        <v>4966</v>
      </c>
      <c r="S160" s="215">
        <f>S159</f>
        <v>24</v>
      </c>
      <c r="T160" s="215" t="s">
        <v>4975</v>
      </c>
      <c r="U160" s="215">
        <v>6110.2</v>
      </c>
      <c r="V160" s="99">
        <f t="shared" si="41"/>
        <v>6291.1288810958904</v>
      </c>
      <c r="W160" s="32">
        <f t="shared" si="28"/>
        <v>6416.9514587178082</v>
      </c>
      <c r="X160" s="32">
        <f t="shared" si="29"/>
        <v>6542.7740363397261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27144082</v>
      </c>
      <c r="R161" s="215" t="s">
        <v>4966</v>
      </c>
      <c r="S161" s="215">
        <f>S160</f>
        <v>24</v>
      </c>
      <c r="T161" s="215" t="s">
        <v>4976</v>
      </c>
      <c r="U161" s="215">
        <v>4568.6000000000004</v>
      </c>
      <c r="V161" s="99">
        <f t="shared" si="41"/>
        <v>4703.8806268493154</v>
      </c>
      <c r="W161" s="32">
        <f t="shared" si="28"/>
        <v>4797.958239386302</v>
      </c>
      <c r="X161" s="32">
        <f t="shared" si="29"/>
        <v>4892.0358519232877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F162" t="s">
        <v>4891</v>
      </c>
      <c r="G162">
        <v>1200</v>
      </c>
      <c r="H162" t="s">
        <v>4892</v>
      </c>
      <c r="Q162" s="169">
        <v>6150141</v>
      </c>
      <c r="R162" s="215" t="s">
        <v>4966</v>
      </c>
      <c r="S162" s="215">
        <f>S161</f>
        <v>24</v>
      </c>
      <c r="T162" s="215" t="s">
        <v>4977</v>
      </c>
      <c r="U162" s="215">
        <v>180.6</v>
      </c>
      <c r="V162" s="99">
        <f t="shared" si="41"/>
        <v>185.94773917808217</v>
      </c>
      <c r="W162" s="32">
        <f t="shared" si="28"/>
        <v>189.66669396164383</v>
      </c>
      <c r="X162" s="32">
        <f t="shared" si="29"/>
        <v>193.38564874520546</v>
      </c>
      <c r="Y162" t="s">
        <v>25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G163">
        <v>1350</v>
      </c>
      <c r="H163" t="s">
        <v>4893</v>
      </c>
      <c r="Q163" s="169">
        <v>1664165</v>
      </c>
      <c r="R163" s="215" t="s">
        <v>4980</v>
      </c>
      <c r="S163" s="215">
        <f>S162-1</f>
        <v>23</v>
      </c>
      <c r="T163" s="215" t="s">
        <v>4984</v>
      </c>
      <c r="U163" s="215">
        <v>4429.1000000000004</v>
      </c>
      <c r="V163" s="99">
        <f t="shared" si="41"/>
        <v>4556.852232328768</v>
      </c>
      <c r="W163" s="32">
        <f t="shared" si="28"/>
        <v>4647.9892769753433</v>
      </c>
      <c r="X163" s="32">
        <f t="shared" si="29"/>
        <v>4739.1263216219186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1050</v>
      </c>
      <c r="H164" t="s">
        <v>4894</v>
      </c>
      <c r="Q164" s="169">
        <v>2521445</v>
      </c>
      <c r="R164" s="215" t="s">
        <v>4989</v>
      </c>
      <c r="S164" s="215">
        <f>S163-5</f>
        <v>18</v>
      </c>
      <c r="T164" s="215" t="s">
        <v>4992</v>
      </c>
      <c r="U164" s="215">
        <v>4450</v>
      </c>
      <c r="V164" s="99">
        <f t="shared" si="41"/>
        <v>4561.2865753424658</v>
      </c>
      <c r="W164" s="32">
        <f t="shared" si="28"/>
        <v>4652.5123068493149</v>
      </c>
      <c r="X164" s="32">
        <f t="shared" si="29"/>
        <v>4743.7380383561649</v>
      </c>
      <c r="AH164" s="99"/>
      <c r="AI164" s="113"/>
      <c r="AJ164" s="113"/>
      <c r="AK164" s="99"/>
      <c r="AL164" s="99">
        <f t="shared" si="34"/>
        <v>0</v>
      </c>
      <c r="AM164" s="117">
        <f t="shared" si="31"/>
        <v>0</v>
      </c>
      <c r="AN164" s="99"/>
    </row>
    <row r="165" spans="6:40">
      <c r="P165" s="114"/>
      <c r="Q165" s="169">
        <v>162112</v>
      </c>
      <c r="R165" s="215" t="s">
        <v>4995</v>
      </c>
      <c r="S165" s="215">
        <f>S164-1</f>
        <v>17</v>
      </c>
      <c r="T165" s="215" t="s">
        <v>4998</v>
      </c>
      <c r="U165" s="215">
        <v>632.79999999999995</v>
      </c>
      <c r="V165" s="99">
        <f t="shared" si="41"/>
        <v>648.13976547945208</v>
      </c>
      <c r="W165" s="32">
        <f t="shared" si="28"/>
        <v>661.10256078904115</v>
      </c>
      <c r="X165" s="32">
        <f t="shared" si="29"/>
        <v>674.06535609863022</v>
      </c>
      <c r="AH165" s="99"/>
      <c r="AI165" s="99"/>
      <c r="AJ165" s="95">
        <f>SUM(AJ20:AJ164)</f>
        <v>579764113</v>
      </c>
      <c r="AK165" s="99"/>
      <c r="AL165" s="99"/>
      <c r="AM165" s="95">
        <f>SUM(AM20:AM164)</f>
        <v>64742762117</v>
      </c>
      <c r="AN165" s="95">
        <f>AM165*AN168/31</f>
        <v>34808632.780775458</v>
      </c>
    </row>
    <row r="166" spans="6:40">
      <c r="P166" s="114"/>
      <c r="Q166" s="169">
        <v>1399908</v>
      </c>
      <c r="R166" s="215" t="s">
        <v>5052</v>
      </c>
      <c r="S166" s="215">
        <f>S165-13</f>
        <v>4</v>
      </c>
      <c r="T166" s="215" t="s">
        <v>5053</v>
      </c>
      <c r="U166" s="215">
        <v>194</v>
      </c>
      <c r="V166" s="99">
        <f t="shared" si="41"/>
        <v>196.76808767123291</v>
      </c>
      <c r="W166" s="32">
        <f t="shared" si="28"/>
        <v>200.70344942465758</v>
      </c>
      <c r="X166" s="32">
        <f t="shared" si="29"/>
        <v>204.63881117808222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Q167" s="169">
        <v>466793</v>
      </c>
      <c r="R167" s="215" t="s">
        <v>5058</v>
      </c>
      <c r="S167" s="215">
        <f>S166-3</f>
        <v>1</v>
      </c>
      <c r="T167" s="215" t="s">
        <v>5060</v>
      </c>
      <c r="U167" s="215">
        <v>4005.5</v>
      </c>
      <c r="V167" s="99">
        <f t="shared" si="41"/>
        <v>4053.4343123287672</v>
      </c>
      <c r="W167" s="32">
        <f t="shared" si="28"/>
        <v>4134.5029985753426</v>
      </c>
      <c r="X167" s="32">
        <f t="shared" si="29"/>
        <v>4215.5716848219181</v>
      </c>
      <c r="AH167" s="99"/>
      <c r="AI167" s="99"/>
      <c r="AJ167" s="99"/>
      <c r="AK167" s="99"/>
      <c r="AL167" s="99"/>
      <c r="AM167" s="99"/>
      <c r="AN167" s="99"/>
    </row>
    <row r="168" spans="6:40">
      <c r="Q168" s="169">
        <v>250500</v>
      </c>
      <c r="R168" s="215" t="s">
        <v>5001</v>
      </c>
      <c r="S168" s="215">
        <f>S167-1</f>
        <v>0</v>
      </c>
      <c r="T168" s="215" t="s">
        <v>5063</v>
      </c>
      <c r="U168" s="215">
        <v>4087.6</v>
      </c>
      <c r="V168" s="99">
        <f t="shared" si="41"/>
        <v>4133.38112</v>
      </c>
      <c r="W168" s="32">
        <f t="shared" si="28"/>
        <v>4216.0487424000003</v>
      </c>
      <c r="X168" s="32">
        <f t="shared" si="29"/>
        <v>4298.7163648000005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Q169" s="169">
        <v>1204033</v>
      </c>
      <c r="R169" s="215" t="s">
        <v>5065</v>
      </c>
      <c r="S169" s="215">
        <f>S168-3</f>
        <v>-3</v>
      </c>
      <c r="T169" s="215" t="s">
        <v>5068</v>
      </c>
      <c r="U169" s="215">
        <v>218.5</v>
      </c>
      <c r="V169" s="99">
        <f t="shared" si="41"/>
        <v>220.44435068493155</v>
      </c>
      <c r="W169" s="32">
        <f t="shared" si="28"/>
        <v>224.85323769863018</v>
      </c>
      <c r="X169" s="32">
        <f t="shared" si="29"/>
        <v>229.26212471232881</v>
      </c>
      <c r="AH169" s="99"/>
      <c r="AI169" s="99"/>
      <c r="AJ169" s="99"/>
      <c r="AK169" s="99"/>
      <c r="AL169" s="99"/>
      <c r="AM169" s="99"/>
      <c r="AN169" s="99"/>
    </row>
    <row r="170" spans="6:40">
      <c r="P170" s="114"/>
      <c r="Q170" s="169">
        <v>1602603</v>
      </c>
      <c r="R170" s="215" t="s">
        <v>5071</v>
      </c>
      <c r="S170" s="215">
        <f>S169-1</f>
        <v>-4</v>
      </c>
      <c r="T170" s="215" t="s">
        <v>5072</v>
      </c>
      <c r="U170" s="215">
        <v>4079.8</v>
      </c>
      <c r="V170" s="99">
        <f t="shared" si="41"/>
        <v>4112.9749216438358</v>
      </c>
      <c r="W170" s="32">
        <f t="shared" si="28"/>
        <v>4195.2344200767129</v>
      </c>
      <c r="X170" s="32">
        <f t="shared" si="29"/>
        <v>4277.4939185095891</v>
      </c>
      <c r="AH170" s="99"/>
      <c r="AI170" s="99" t="s">
        <v>4061</v>
      </c>
      <c r="AJ170" s="95">
        <f>AJ165+AN165</f>
        <v>614572745.78077543</v>
      </c>
      <c r="AK170" s="99"/>
      <c r="AL170" s="99"/>
      <c r="AM170" s="99"/>
      <c r="AN170" s="99"/>
    </row>
    <row r="171" spans="6:40">
      <c r="Q171" s="169"/>
      <c r="R171" s="168"/>
      <c r="S171" s="168"/>
      <c r="T171" s="168"/>
      <c r="U171" s="168"/>
      <c r="V171" s="99">
        <f t="shared" si="41"/>
        <v>0</v>
      </c>
      <c r="W171" s="32">
        <f t="shared" si="28"/>
        <v>0</v>
      </c>
      <c r="X171" s="32">
        <f t="shared" si="29"/>
        <v>0</v>
      </c>
      <c r="AI171" t="s">
        <v>4064</v>
      </c>
      <c r="AJ171" s="114">
        <f>SUM(N44:N58)</f>
        <v>772393403.79999995</v>
      </c>
    </row>
    <row r="172" spans="6:40">
      <c r="P172" s="114"/>
      <c r="Q172" s="113">
        <f>SUM(N46:N58)-SUM(Q92:Q171)</f>
        <v>124881418.79999995</v>
      </c>
      <c r="R172" s="112"/>
      <c r="S172" s="112"/>
      <c r="T172" s="112"/>
      <c r="U172" s="168"/>
      <c r="V172" s="99" t="s">
        <v>25</v>
      </c>
      <c r="W172" s="32"/>
      <c r="X172" s="32"/>
      <c r="AI172" t="s">
        <v>4136</v>
      </c>
      <c r="AJ172" s="114">
        <f>AJ171-AJ165</f>
        <v>192629290.79999995</v>
      </c>
      <c r="AM172" t="s">
        <v>25</v>
      </c>
    </row>
    <row r="173" spans="6:40">
      <c r="O173" s="96"/>
      <c r="P173" s="114"/>
      <c r="Q173" s="26"/>
      <c r="R173" s="181"/>
      <c r="S173" s="181"/>
      <c r="T173" t="s">
        <v>25</v>
      </c>
      <c r="U173" s="96" t="s">
        <v>25</v>
      </c>
      <c r="V173" s="96" t="s">
        <v>25</v>
      </c>
      <c r="W173" s="96" t="s">
        <v>25</v>
      </c>
      <c r="Y173" t="s">
        <v>25</v>
      </c>
      <c r="AI173" t="s">
        <v>943</v>
      </c>
      <c r="AJ173" s="114">
        <f>AN165</f>
        <v>34808632.780775458</v>
      </c>
      <c r="AN173" t="s">
        <v>25</v>
      </c>
    </row>
    <row r="174" spans="6:40">
      <c r="O174" s="96"/>
      <c r="R174" s="32" t="s">
        <v>4573</v>
      </c>
      <c r="S174" s="32" t="s">
        <v>950</v>
      </c>
      <c r="T174" t="s">
        <v>25</v>
      </c>
      <c r="U174" s="96" t="s">
        <v>25</v>
      </c>
      <c r="V174" s="96" t="s">
        <v>25</v>
      </c>
      <c r="W174" s="96" t="s">
        <v>25</v>
      </c>
      <c r="X174" s="122" t="s">
        <v>25</v>
      </c>
      <c r="AI174" t="s">
        <v>4065</v>
      </c>
      <c r="AJ174" s="114">
        <f>AJ171-AJ170</f>
        <v>157820658.01922452</v>
      </c>
      <c r="AN174" t="s">
        <v>25</v>
      </c>
    </row>
    <row r="175" spans="6:40">
      <c r="R175" s="32">
        <v>2480</v>
      </c>
      <c r="S175" s="237">
        <v>13041741</v>
      </c>
      <c r="U175" s="96" t="s">
        <v>25</v>
      </c>
      <c r="V175" s="122" t="s">
        <v>25</v>
      </c>
      <c r="W175" s="96" t="s">
        <v>25</v>
      </c>
      <c r="X175" t="s">
        <v>25</v>
      </c>
      <c r="Y175" t="s">
        <v>25</v>
      </c>
      <c r="AM175" t="s">
        <v>25</v>
      </c>
    </row>
    <row r="176" spans="6:40">
      <c r="Q176" t="s">
        <v>25</v>
      </c>
      <c r="R176" s="32">
        <v>1450</v>
      </c>
      <c r="S176" s="1">
        <f>S175*R176/R175</f>
        <v>7625211.4717741935</v>
      </c>
      <c r="U176" s="96" t="s">
        <v>25</v>
      </c>
      <c r="V176" s="122" t="s">
        <v>25</v>
      </c>
      <c r="W176" s="96" t="s">
        <v>25</v>
      </c>
      <c r="X176" t="s">
        <v>25</v>
      </c>
      <c r="Y176" t="s">
        <v>25</v>
      </c>
      <c r="AJ176" t="s">
        <v>25</v>
      </c>
    </row>
    <row r="177" spans="16:44">
      <c r="R177" s="32">
        <f>R175-R176</f>
        <v>1030</v>
      </c>
      <c r="S177" s="1">
        <f>R177*S175/R175</f>
        <v>5416529.5282258065</v>
      </c>
      <c r="U177" s="122" t="s">
        <v>25</v>
      </c>
      <c r="V177" s="96"/>
      <c r="W177"/>
      <c r="X177" t="s">
        <v>25</v>
      </c>
    </row>
    <row r="178" spans="16:44">
      <c r="V178" s="96"/>
      <c r="W178"/>
      <c r="X178" t="s">
        <v>25</v>
      </c>
    </row>
    <row r="179" spans="16:44">
      <c r="Q179" s="99" t="s">
        <v>4463</v>
      </c>
      <c r="R179" s="99" t="s">
        <v>4465</v>
      </c>
      <c r="S179" s="99"/>
      <c r="T179" s="99" t="s">
        <v>4466</v>
      </c>
      <c r="U179" s="99"/>
      <c r="V179" s="99"/>
      <c r="W179" s="99" t="s">
        <v>4576</v>
      </c>
    </row>
    <row r="180" spans="16:44">
      <c r="P180">
        <f>R183+776</f>
        <v>1686541</v>
      </c>
      <c r="Q180" s="113">
        <v>1000</v>
      </c>
      <c r="R180" s="99">
        <v>0.25</v>
      </c>
      <c r="S180" s="99"/>
      <c r="T180" s="99">
        <f>1-R180</f>
        <v>0.75</v>
      </c>
      <c r="U180" s="99"/>
      <c r="V180" s="99"/>
      <c r="W180" s="99"/>
    </row>
    <row r="181" spans="16:44">
      <c r="Q181" s="168" t="s">
        <v>4450</v>
      </c>
      <c r="R181" s="168" t="s">
        <v>4468</v>
      </c>
      <c r="S181" s="168" t="s">
        <v>4470</v>
      </c>
      <c r="T181" s="168"/>
      <c r="U181" s="168" t="s">
        <v>4464</v>
      </c>
      <c r="V181" s="56" t="s">
        <v>4467</v>
      </c>
      <c r="W181" s="99"/>
      <c r="X181" s="115"/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168" t="s">
        <v>751</v>
      </c>
      <c r="R182" s="56">
        <v>1716161</v>
      </c>
      <c r="S182" s="113">
        <f>R182*$T$267</f>
        <v>561338307.48690081</v>
      </c>
      <c r="T182" s="168"/>
      <c r="U182" s="168">
        <f>$Q$180*$T$180*S182/$R$206</f>
        <v>361.78756039767603</v>
      </c>
      <c r="V182" s="95">
        <f>S182+U182</f>
        <v>561338669.27446115</v>
      </c>
      <c r="W182" s="99">
        <f>R182*100/U264</f>
        <v>48.238341386356801</v>
      </c>
      <c r="X182" s="219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284</v>
      </c>
      <c r="AM182" s="99">
        <f>AJ182*AL182</f>
        <v>1009852880</v>
      </c>
      <c r="AN182" s="99" t="s">
        <v>4313</v>
      </c>
      <c r="AR182" t="s">
        <v>25</v>
      </c>
    </row>
    <row r="183" spans="16:44">
      <c r="Q183" s="168" t="s">
        <v>4452</v>
      </c>
      <c r="R183" s="56">
        <v>1685765</v>
      </c>
      <c r="S183" s="113">
        <f>R183*$T$267</f>
        <v>551396093.9099859</v>
      </c>
      <c r="T183" s="168"/>
      <c r="U183" s="215">
        <f>$Q$180*$T$180*S183/$R$206</f>
        <v>355.37971481334699</v>
      </c>
      <c r="V183" s="95">
        <f t="shared" ref="V183:V184" si="42">S183+U183</f>
        <v>551396449.28970075</v>
      </c>
      <c r="W183" s="99">
        <f>R183*100/U264</f>
        <v>47.383961975112925</v>
      </c>
      <c r="X183" s="115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3">AK183+AL184</f>
        <v>282</v>
      </c>
      <c r="AM183" s="99">
        <f t="shared" ref="AM183:AM211" si="44">AJ183*AL183</f>
        <v>485276034</v>
      </c>
      <c r="AN183" s="99" t="s">
        <v>4314</v>
      </c>
    </row>
    <row r="184" spans="16:44">
      <c r="Q184" s="168" t="s">
        <v>4451</v>
      </c>
      <c r="R184" s="56">
        <v>53811</v>
      </c>
      <c r="S184" s="113">
        <f>R184*$T$267</f>
        <v>17601015.093675721</v>
      </c>
      <c r="T184" s="168"/>
      <c r="U184" s="215">
        <f>$Q$180*$T$180*S184/$R$206</f>
        <v>11.344011670559665</v>
      </c>
      <c r="V184" s="95">
        <f t="shared" si="42"/>
        <v>17601026.437687393</v>
      </c>
      <c r="W184" s="99">
        <f>R184*100/U264</f>
        <v>1.5125348894079551</v>
      </c>
      <c r="X184" s="115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3"/>
        <v>231</v>
      </c>
      <c r="AM184" s="99">
        <f t="shared" si="44"/>
        <v>34650000</v>
      </c>
      <c r="AN184" s="99"/>
    </row>
    <row r="185" spans="16:44">
      <c r="Q185" s="168" t="s">
        <v>1087</v>
      </c>
      <c r="R185" s="56">
        <v>101933</v>
      </c>
      <c r="S185" s="113">
        <f>R185*$T$267</f>
        <v>33341217.80943761</v>
      </c>
      <c r="T185" s="168"/>
      <c r="U185" s="215">
        <f>$Q$180*$T$180*S185/$R$206</f>
        <v>21.488713118417394</v>
      </c>
      <c r="V185" s="95">
        <f>S185+U185</f>
        <v>33341239.298150729</v>
      </c>
      <c r="W185" s="99">
        <f>R185*100/U264</f>
        <v>2.8651617491223189</v>
      </c>
      <c r="X185" s="115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3"/>
        <v>228</v>
      </c>
      <c r="AM185" s="99">
        <f t="shared" si="44"/>
        <v>-21660000</v>
      </c>
      <c r="AN185" s="99"/>
    </row>
    <row r="186" spans="16:44">
      <c r="Q186" s="168"/>
      <c r="R186" s="56"/>
      <c r="S186" s="168"/>
      <c r="T186" s="168"/>
      <c r="U186" s="168"/>
      <c r="V186" s="168"/>
      <c r="W186" s="99"/>
      <c r="X186" s="96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3"/>
        <v>220</v>
      </c>
      <c r="AM186" s="99">
        <f t="shared" si="44"/>
        <v>693000000</v>
      </c>
      <c r="AN186" s="99"/>
    </row>
    <row r="187" spans="16:44">
      <c r="Q187" s="168"/>
      <c r="R187" s="168"/>
      <c r="S187" s="168"/>
      <c r="T187" s="168"/>
      <c r="U187" s="168"/>
      <c r="V187" s="168"/>
      <c r="W187" s="99"/>
      <c r="X187" s="96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3"/>
        <v>204</v>
      </c>
      <c r="AM187" s="99">
        <f t="shared" si="44"/>
        <v>-13260000</v>
      </c>
      <c r="AN187" s="99"/>
    </row>
    <row r="188" spans="16:44">
      <c r="Q188" s="99"/>
      <c r="R188" s="99"/>
      <c r="S188" s="99"/>
      <c r="T188" s="99" t="s">
        <v>25</v>
      </c>
      <c r="U188" s="99"/>
      <c r="V188" s="99"/>
      <c r="W188" s="99"/>
      <c r="X188" s="96"/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3"/>
        <v>203</v>
      </c>
      <c r="AM188" s="99">
        <f t="shared" si="44"/>
        <v>-19285000</v>
      </c>
      <c r="AN188" s="99"/>
    </row>
    <row r="189" spans="16:44">
      <c r="Q189" s="99"/>
      <c r="R189" s="99"/>
      <c r="S189" s="99"/>
      <c r="T189" s="99"/>
      <c r="U189" s="99"/>
      <c r="V189" s="99"/>
      <c r="W189" s="99"/>
      <c r="X189" s="96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3"/>
        <v>197</v>
      </c>
      <c r="AM189" s="99">
        <f t="shared" si="44"/>
        <v>45704000</v>
      </c>
      <c r="AN189" s="99"/>
    </row>
    <row r="190" spans="16:44">
      <c r="Q190" s="99"/>
      <c r="R190" s="99"/>
      <c r="S190" s="99"/>
      <c r="T190" s="99"/>
      <c r="U190" s="99"/>
      <c r="V190" s="99"/>
      <c r="W190" s="99"/>
      <c r="X190" s="96"/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3"/>
        <v>190</v>
      </c>
      <c r="AM190" s="99">
        <f t="shared" si="44"/>
        <v>2470000000</v>
      </c>
      <c r="AN190" s="99"/>
    </row>
    <row r="191" spans="16:44">
      <c r="Q191" s="96"/>
      <c r="R191" s="96"/>
      <c r="S191" s="96"/>
      <c r="T191" s="96"/>
      <c r="V191" s="96"/>
      <c r="X191" s="115"/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3"/>
        <v>188</v>
      </c>
      <c r="AM191" s="99">
        <f t="shared" si="44"/>
        <v>1880000000</v>
      </c>
      <c r="AN191" s="99"/>
    </row>
    <row r="192" spans="16:44">
      <c r="Q192" s="96"/>
      <c r="R192" s="96"/>
      <c r="S192" s="96"/>
      <c r="T192" s="96"/>
      <c r="V192" s="96"/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3"/>
        <v>185</v>
      </c>
      <c r="AM192" s="99">
        <f t="shared" si="44"/>
        <v>629000000</v>
      </c>
      <c r="AN192" s="99"/>
    </row>
    <row r="193" spans="15:44">
      <c r="Q193" s="96"/>
      <c r="R193" s="96"/>
      <c r="S193" s="96"/>
      <c r="T193" s="96" t="s">
        <v>25</v>
      </c>
      <c r="V193" s="96"/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176</v>
      </c>
      <c r="AM193" s="99">
        <f t="shared" si="44"/>
        <v>-1537626464</v>
      </c>
      <c r="AN193" s="99"/>
    </row>
    <row r="194" spans="15:44">
      <c r="Q194" s="96"/>
      <c r="R194" s="96"/>
      <c r="S194" s="96"/>
      <c r="T194" s="96"/>
      <c r="V194" s="96"/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5">AK194+AL195</f>
        <v>175</v>
      </c>
      <c r="AM194" s="99">
        <f t="shared" si="44"/>
        <v>97125000</v>
      </c>
      <c r="AN194" s="99"/>
    </row>
    <row r="195" spans="15:44">
      <c r="Q195" s="96"/>
      <c r="R195" s="96"/>
      <c r="S195" s="96"/>
      <c r="T195" s="99" t="s">
        <v>180</v>
      </c>
      <c r="U195" s="99" t="s">
        <v>4486</v>
      </c>
      <c r="V195" s="99" t="s">
        <v>4487</v>
      </c>
      <c r="W195" s="99" t="s">
        <v>4497</v>
      </c>
      <c r="X195" s="99" t="s">
        <v>8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5"/>
        <v>170</v>
      </c>
      <c r="AM195" s="99">
        <f t="shared" si="44"/>
        <v>-76212360</v>
      </c>
      <c r="AN195" s="99"/>
    </row>
    <row r="196" spans="15:44">
      <c r="Q196" s="36" t="s">
        <v>4572</v>
      </c>
      <c r="R196" s="95">
        <f>SUM(N46:N58)</f>
        <v>772390630.79999995</v>
      </c>
      <c r="T196" s="113" t="s">
        <v>4462</v>
      </c>
      <c r="U196" s="56">
        <v>1000000</v>
      </c>
      <c r="V196" s="113">
        <v>239.024</v>
      </c>
      <c r="W196" s="113">
        <f t="shared" ref="W196:W262" si="46">U196*V196</f>
        <v>239024000</v>
      </c>
      <c r="X196" s="99"/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5"/>
        <v>164</v>
      </c>
      <c r="AM196" s="99">
        <f t="shared" si="44"/>
        <v>5448900</v>
      </c>
      <c r="AN196" s="99"/>
    </row>
    <row r="197" spans="15:44">
      <c r="Q197" s="99" t="s">
        <v>4453</v>
      </c>
      <c r="R197" s="95">
        <f>SUM(N21:N26)</f>
        <v>349185695.5</v>
      </c>
      <c r="T197" s="168" t="s">
        <v>4444</v>
      </c>
      <c r="U197" s="56">
        <v>5904</v>
      </c>
      <c r="V197" s="113">
        <v>237.148</v>
      </c>
      <c r="W197" s="113">
        <f t="shared" si="46"/>
        <v>1400121.7919999999</v>
      </c>
      <c r="X197" s="99" t="s">
        <v>751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5"/>
        <v>164</v>
      </c>
      <c r="AM197" s="149">
        <f t="shared" si="44"/>
        <v>672157772</v>
      </c>
      <c r="AN197" s="149" t="s">
        <v>657</v>
      </c>
    </row>
    <row r="198" spans="15:44">
      <c r="Q198" s="99" t="s">
        <v>4454</v>
      </c>
      <c r="R198" s="95">
        <f>SUM(N29:N33)</f>
        <v>41901521</v>
      </c>
      <c r="T198" s="168" t="s">
        <v>4232</v>
      </c>
      <c r="U198" s="168">
        <v>1000</v>
      </c>
      <c r="V198" s="113">
        <v>247.393</v>
      </c>
      <c r="W198" s="113">
        <f t="shared" si="46"/>
        <v>247393</v>
      </c>
      <c r="X198" s="99" t="s">
        <v>751</v>
      </c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5"/>
        <v>162</v>
      </c>
      <c r="AM198" s="149">
        <f t="shared" si="44"/>
        <v>-162000000</v>
      </c>
      <c r="AN198" s="149" t="s">
        <v>657</v>
      </c>
    </row>
    <row r="199" spans="15:44">
      <c r="Q199" s="99" t="s">
        <v>4455</v>
      </c>
      <c r="R199" s="95">
        <f>N44</f>
        <v>2773</v>
      </c>
      <c r="T199" s="168" t="s">
        <v>4498</v>
      </c>
      <c r="U199" s="168">
        <v>8071</v>
      </c>
      <c r="V199" s="113">
        <v>247.797</v>
      </c>
      <c r="W199" s="113">
        <f t="shared" si="46"/>
        <v>1999969.5870000001</v>
      </c>
      <c r="X199" s="99" t="s">
        <v>4451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5"/>
        <v>155</v>
      </c>
      <c r="AM199" s="149">
        <f t="shared" si="44"/>
        <v>116250000</v>
      </c>
      <c r="AN199" s="149" t="s">
        <v>657</v>
      </c>
      <c r="AQ199" t="s">
        <v>25</v>
      </c>
    </row>
    <row r="200" spans="15:44">
      <c r="P200" s="96"/>
      <c r="Q200" s="99" t="s">
        <v>4456</v>
      </c>
      <c r="R200" s="95">
        <f>N20</f>
        <v>208</v>
      </c>
      <c r="T200" s="168" t="s">
        <v>4498</v>
      </c>
      <c r="U200" s="168">
        <v>53672</v>
      </c>
      <c r="V200" s="113">
        <v>247.797</v>
      </c>
      <c r="W200" s="113">
        <f t="shared" si="46"/>
        <v>13299760.584000001</v>
      </c>
      <c r="X200" s="99" t="s">
        <v>452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5"/>
        <v>154</v>
      </c>
      <c r="AM200" s="196">
        <f t="shared" si="44"/>
        <v>-93039408</v>
      </c>
      <c r="AN200" s="196" t="s">
        <v>657</v>
      </c>
    </row>
    <row r="201" spans="15:44">
      <c r="Q201" s="99" t="s">
        <v>4457</v>
      </c>
      <c r="R201" s="95">
        <f>N28</f>
        <v>4531</v>
      </c>
      <c r="T201" s="168" t="s">
        <v>4506</v>
      </c>
      <c r="U201" s="168">
        <v>4099</v>
      </c>
      <c r="V201" s="113">
        <v>243.93</v>
      </c>
      <c r="W201" s="113">
        <f t="shared" si="46"/>
        <v>999869.07000000007</v>
      </c>
      <c r="X201" s="99" t="s">
        <v>4451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5"/>
        <v>154</v>
      </c>
      <c r="AM201" s="99">
        <f t="shared" si="44"/>
        <v>-90410782</v>
      </c>
      <c r="AN201" s="99"/>
    </row>
    <row r="202" spans="15:44">
      <c r="Q202" s="99" t="s">
        <v>4469</v>
      </c>
      <c r="R202" s="95">
        <v>0</v>
      </c>
      <c r="T202" s="168" t="s">
        <v>4506</v>
      </c>
      <c r="U202" s="168">
        <v>9301</v>
      </c>
      <c r="V202" s="113">
        <v>243.93</v>
      </c>
      <c r="W202" s="113">
        <f t="shared" si="46"/>
        <v>2268792.9300000002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5"/>
        <v>150</v>
      </c>
      <c r="AM202" s="196">
        <f t="shared" si="44"/>
        <v>-113152650</v>
      </c>
      <c r="AN202" s="196" t="s">
        <v>657</v>
      </c>
      <c r="AR202" t="s">
        <v>25</v>
      </c>
    </row>
    <row r="203" spans="15:44">
      <c r="Q203" s="99" t="s">
        <v>5030</v>
      </c>
      <c r="R203" s="95">
        <v>0</v>
      </c>
      <c r="T203" s="168" t="s">
        <v>4512</v>
      </c>
      <c r="U203" s="168">
        <v>8334</v>
      </c>
      <c r="V203" s="113">
        <v>239.97</v>
      </c>
      <c r="W203" s="113">
        <f t="shared" si="46"/>
        <v>1999909.98</v>
      </c>
      <c r="X203" s="99" t="s">
        <v>4451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5"/>
        <v>150</v>
      </c>
      <c r="AM203" s="99">
        <f t="shared" si="44"/>
        <v>-28442850</v>
      </c>
      <c r="AN203" s="99"/>
    </row>
    <row r="204" spans="15:44">
      <c r="Q204" s="99" t="s">
        <v>4933</v>
      </c>
      <c r="R204" s="95">
        <v>200000</v>
      </c>
      <c r="T204" s="168" t="s">
        <v>4231</v>
      </c>
      <c r="U204" s="168">
        <v>29041</v>
      </c>
      <c r="V204" s="113">
        <v>233.45</v>
      </c>
      <c r="W204" s="113">
        <f t="shared" si="46"/>
        <v>6779621.4499999993</v>
      </c>
      <c r="X204" s="99" t="s">
        <v>751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5"/>
        <v>135</v>
      </c>
      <c r="AM204" s="196">
        <f t="shared" si="44"/>
        <v>958500</v>
      </c>
      <c r="AN204" s="196" t="s">
        <v>657</v>
      </c>
    </row>
    <row r="205" spans="15:44">
      <c r="Q205" s="99" t="s">
        <v>4715</v>
      </c>
      <c r="R205" s="95">
        <v>-8725</v>
      </c>
      <c r="S205" s="115"/>
      <c r="T205" s="168" t="s">
        <v>994</v>
      </c>
      <c r="U205" s="168">
        <v>12337</v>
      </c>
      <c r="V205" s="113">
        <v>243.16300000000001</v>
      </c>
      <c r="W205" s="113">
        <f t="shared" si="46"/>
        <v>2999901.9310000003</v>
      </c>
      <c r="X205" s="99" t="s">
        <v>4451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5"/>
        <v>135</v>
      </c>
      <c r="AM205" s="20">
        <f t="shared" si="44"/>
        <v>-19966770</v>
      </c>
      <c r="AN205" s="20"/>
      <c r="AR205" t="s">
        <v>25</v>
      </c>
    </row>
    <row r="206" spans="15:44">
      <c r="Q206" s="99" t="s">
        <v>4461</v>
      </c>
      <c r="R206" s="95">
        <f>SUM(R196:R205)</f>
        <v>1163676634.3</v>
      </c>
      <c r="S206" s="122"/>
      <c r="T206" s="168" t="s">
        <v>4595</v>
      </c>
      <c r="U206" s="168">
        <v>-16118</v>
      </c>
      <c r="V206" s="113">
        <v>248.17</v>
      </c>
      <c r="W206" s="113">
        <f t="shared" si="46"/>
        <v>-4000004.0599999996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5"/>
        <v>132</v>
      </c>
      <c r="AM206" s="196">
        <f t="shared" si="44"/>
        <v>-4910400</v>
      </c>
      <c r="AN206" s="149" t="s">
        <v>657</v>
      </c>
    </row>
    <row r="207" spans="15:44">
      <c r="O207" t="s">
        <v>25</v>
      </c>
      <c r="P207" s="96"/>
      <c r="Q207" s="96"/>
      <c r="S207" s="115"/>
      <c r="T207" s="168" t="s">
        <v>4624</v>
      </c>
      <c r="U207" s="168">
        <v>101681</v>
      </c>
      <c r="V207" s="113">
        <v>246.5711</v>
      </c>
      <c r="W207" s="113">
        <f t="shared" si="46"/>
        <v>25071596.019099999</v>
      </c>
      <c r="X207" s="99" t="s">
        <v>452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5"/>
        <v>128</v>
      </c>
      <c r="AM207" s="20">
        <f t="shared" si="44"/>
        <v>-47657728</v>
      </c>
      <c r="AN207" s="99"/>
    </row>
    <row r="208" spans="15:44">
      <c r="Q208" s="96"/>
      <c r="R208" s="182"/>
      <c r="S208" s="115"/>
      <c r="T208" s="168" t="s">
        <v>4628</v>
      </c>
      <c r="U208" s="168">
        <v>66606</v>
      </c>
      <c r="V208" s="113">
        <v>251.131</v>
      </c>
      <c r="W208" s="113">
        <f t="shared" si="46"/>
        <v>16726831.386</v>
      </c>
      <c r="X208" s="99" t="s">
        <v>751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5"/>
        <v>107</v>
      </c>
      <c r="AM208" s="20">
        <f t="shared" si="44"/>
        <v>25151634</v>
      </c>
      <c r="AN208" s="99"/>
    </row>
    <row r="209" spans="16:45">
      <c r="Q209" s="96"/>
      <c r="R209" s="182"/>
      <c r="T209" s="168" t="s">
        <v>4634</v>
      </c>
      <c r="U209" s="168">
        <v>172025</v>
      </c>
      <c r="V209" s="113">
        <v>245.52809999999999</v>
      </c>
      <c r="W209" s="113">
        <f t="shared" si="46"/>
        <v>42236971.402499996</v>
      </c>
      <c r="X209" s="99" t="s">
        <v>452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5"/>
        <v>107</v>
      </c>
      <c r="AM209" s="149">
        <f t="shared" si="44"/>
        <v>25151634</v>
      </c>
      <c r="AN209" s="149" t="s">
        <v>657</v>
      </c>
      <c r="AP209" t="s">
        <v>25</v>
      </c>
    </row>
    <row r="210" spans="16:45">
      <c r="Q210" s="96"/>
      <c r="R210" s="115"/>
      <c r="T210" s="168" t="s">
        <v>4634</v>
      </c>
      <c r="U210" s="168">
        <v>189227</v>
      </c>
      <c r="V210" s="113">
        <v>245.52809999999999</v>
      </c>
      <c r="W210" s="113">
        <f t="shared" si="46"/>
        <v>46460545.778700002</v>
      </c>
      <c r="X210" s="99" t="s">
        <v>751</v>
      </c>
      <c r="Z210" t="s">
        <v>25</v>
      </c>
      <c r="AH210" s="149">
        <v>29</v>
      </c>
      <c r="AI210" s="149" t="s">
        <v>4637</v>
      </c>
      <c r="AJ210" s="189">
        <v>450000</v>
      </c>
      <c r="AK210" s="149">
        <v>0</v>
      </c>
      <c r="AL210" s="99">
        <f t="shared" si="45"/>
        <v>98</v>
      </c>
      <c r="AM210" s="149">
        <f t="shared" si="44"/>
        <v>44100000</v>
      </c>
      <c r="AN210" s="149" t="s">
        <v>657</v>
      </c>
    </row>
    <row r="211" spans="16:45">
      <c r="T211" s="168" t="s">
        <v>4637</v>
      </c>
      <c r="U211" s="168">
        <v>79720</v>
      </c>
      <c r="V211" s="113">
        <v>246.6568</v>
      </c>
      <c r="W211" s="113">
        <f t="shared" si="46"/>
        <v>19663480.096000001</v>
      </c>
      <c r="X211" s="99" t="s">
        <v>452</v>
      </c>
      <c r="AH211" s="20">
        <v>30</v>
      </c>
      <c r="AI211" s="20" t="s">
        <v>4637</v>
      </c>
      <c r="AJ211" s="117">
        <v>450000</v>
      </c>
      <c r="AK211" s="20">
        <v>22</v>
      </c>
      <c r="AL211" s="99">
        <f>AK211+AL212</f>
        <v>98</v>
      </c>
      <c r="AM211" s="20">
        <f t="shared" si="44"/>
        <v>44100000</v>
      </c>
      <c r="AN211" s="20"/>
      <c r="AR211" t="s">
        <v>25</v>
      </c>
    </row>
    <row r="212" spans="16:45">
      <c r="P212" s="99" t="s">
        <v>8</v>
      </c>
      <c r="Q212" s="99" t="s">
        <v>4451</v>
      </c>
      <c r="R212" s="99"/>
      <c r="T212" s="168" t="s">
        <v>4637</v>
      </c>
      <c r="U212" s="168">
        <v>79720</v>
      </c>
      <c r="V212" s="113">
        <v>246.6568</v>
      </c>
      <c r="W212" s="113">
        <f t="shared" si="46"/>
        <v>19663480.096000001</v>
      </c>
      <c r="X212" s="99" t="s">
        <v>751</v>
      </c>
      <c r="AH212" s="149">
        <v>31</v>
      </c>
      <c r="AI212" s="149" t="s">
        <v>4738</v>
      </c>
      <c r="AJ212" s="189">
        <v>300000</v>
      </c>
      <c r="AK212" s="149">
        <v>0</v>
      </c>
      <c r="AL212" s="149">
        <f t="shared" ref="AL212:AL227" si="47">AK212+AL213</f>
        <v>76</v>
      </c>
      <c r="AM212" s="149">
        <f t="shared" ref="AM212:AM215" si="48">AJ212*AL212</f>
        <v>22800000</v>
      </c>
      <c r="AN212" s="149"/>
      <c r="AQ212" t="s">
        <v>25</v>
      </c>
    </row>
    <row r="213" spans="16:45" ht="30">
      <c r="P213" s="99"/>
      <c r="Q213" s="36" t="s">
        <v>180</v>
      </c>
      <c r="R213" s="99" t="s">
        <v>267</v>
      </c>
      <c r="T213" s="168" t="s">
        <v>4664</v>
      </c>
      <c r="U213" s="168">
        <v>17769</v>
      </c>
      <c r="V213" s="113">
        <v>246.17877999999999</v>
      </c>
      <c r="W213" s="113">
        <f t="shared" si="46"/>
        <v>4374350.7418200001</v>
      </c>
      <c r="X213" s="99" t="s">
        <v>751</v>
      </c>
      <c r="AH213" s="121">
        <v>32</v>
      </c>
      <c r="AI213" s="121" t="s">
        <v>4738</v>
      </c>
      <c r="AJ213" s="79">
        <v>288936</v>
      </c>
      <c r="AK213" s="121">
        <v>3</v>
      </c>
      <c r="AL213" s="121">
        <f t="shared" si="47"/>
        <v>76</v>
      </c>
      <c r="AM213" s="121">
        <f t="shared" si="48"/>
        <v>21959136</v>
      </c>
      <c r="AN213" s="207" t="s">
        <v>4751</v>
      </c>
    </row>
    <row r="214" spans="16:45">
      <c r="P214" s="99"/>
      <c r="Q214" s="99" t="s">
        <v>4444</v>
      </c>
      <c r="R214" s="95">
        <v>3000000</v>
      </c>
      <c r="T214" s="168" t="s">
        <v>4664</v>
      </c>
      <c r="U214" s="168">
        <v>17769</v>
      </c>
      <c r="V214" s="113">
        <v>246.17877999999999</v>
      </c>
      <c r="W214" s="113">
        <f t="shared" si="46"/>
        <v>4374350.7418200001</v>
      </c>
      <c r="X214" s="99" t="s">
        <v>452</v>
      </c>
      <c r="AH214" s="121">
        <v>33</v>
      </c>
      <c r="AI214" s="121" t="s">
        <v>4749</v>
      </c>
      <c r="AJ214" s="79">
        <v>17962491</v>
      </c>
      <c r="AK214" s="121">
        <v>1</v>
      </c>
      <c r="AL214" s="121">
        <f t="shared" si="47"/>
        <v>73</v>
      </c>
      <c r="AM214" s="121">
        <f t="shared" si="48"/>
        <v>1311261843</v>
      </c>
      <c r="AN214" s="121" t="s">
        <v>4756</v>
      </c>
    </row>
    <row r="215" spans="16:45">
      <c r="P215" s="99"/>
      <c r="Q215" s="99" t="s">
        <v>4498</v>
      </c>
      <c r="R215" s="95">
        <v>2000000</v>
      </c>
      <c r="T215" s="168" t="s">
        <v>4670</v>
      </c>
      <c r="U215" s="168">
        <v>12438</v>
      </c>
      <c r="V215" s="113">
        <v>241.20465999999999</v>
      </c>
      <c r="W215" s="113">
        <f t="shared" si="46"/>
        <v>3000103.5610799999</v>
      </c>
      <c r="X215" s="99" t="s">
        <v>4451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72</v>
      </c>
      <c r="AM215" s="121">
        <f t="shared" si="48"/>
        <v>1322172792</v>
      </c>
      <c r="AN215" s="121" t="s">
        <v>4756</v>
      </c>
    </row>
    <row r="216" spans="16:45">
      <c r="P216" s="99"/>
      <c r="Q216" s="99" t="s">
        <v>4506</v>
      </c>
      <c r="R216" s="95">
        <v>1000000</v>
      </c>
      <c r="T216" s="168" t="s">
        <v>4680</v>
      </c>
      <c r="U216" s="168">
        <v>27363</v>
      </c>
      <c r="V216" s="113">
        <v>239.3886</v>
      </c>
      <c r="W216" s="113">
        <f t="shared" si="46"/>
        <v>6550390.2617999995</v>
      </c>
      <c r="X216" s="99" t="s">
        <v>751</v>
      </c>
      <c r="AH216" s="121">
        <v>35</v>
      </c>
      <c r="AI216" s="121" t="s">
        <v>4762</v>
      </c>
      <c r="AJ216" s="79">
        <v>23622417</v>
      </c>
      <c r="AK216" s="121">
        <v>5</v>
      </c>
      <c r="AL216" s="121">
        <f t="shared" si="47"/>
        <v>71</v>
      </c>
      <c r="AM216" s="121">
        <f t="shared" ref="AM216:AM219" si="49">AJ216*AL216</f>
        <v>1677191607</v>
      </c>
      <c r="AN216" s="121" t="s">
        <v>4771</v>
      </c>
      <c r="AS216" t="s">
        <v>25</v>
      </c>
    </row>
    <row r="217" spans="16:45">
      <c r="P217" s="99"/>
      <c r="Q217" s="99" t="s">
        <v>4512</v>
      </c>
      <c r="R217" s="95">
        <v>2000000</v>
      </c>
      <c r="T217" s="168" t="s">
        <v>4680</v>
      </c>
      <c r="U217" s="168">
        <v>27363</v>
      </c>
      <c r="V217" s="113">
        <v>239.3886</v>
      </c>
      <c r="W217" s="113">
        <f t="shared" si="46"/>
        <v>6550390.2617999995</v>
      </c>
      <c r="X217" s="99" t="s">
        <v>452</v>
      </c>
      <c r="AH217" s="121">
        <v>36</v>
      </c>
      <c r="AI217" s="121" t="s">
        <v>4788</v>
      </c>
      <c r="AJ217" s="79">
        <v>82496108</v>
      </c>
      <c r="AK217" s="121">
        <v>1</v>
      </c>
      <c r="AL217" s="121">
        <f t="shared" si="47"/>
        <v>66</v>
      </c>
      <c r="AM217" s="121">
        <f t="shared" si="49"/>
        <v>5444743128</v>
      </c>
      <c r="AN217" s="121" t="s">
        <v>4791</v>
      </c>
    </row>
    <row r="218" spans="16:45">
      <c r="P218" s="99"/>
      <c r="Q218" s="99" t="s">
        <v>994</v>
      </c>
      <c r="R218" s="95">
        <v>3000000</v>
      </c>
      <c r="T218" s="212" t="s">
        <v>4684</v>
      </c>
      <c r="U218" s="212">
        <v>27437</v>
      </c>
      <c r="V218" s="113">
        <v>242.4015</v>
      </c>
      <c r="W218" s="113">
        <f t="shared" si="46"/>
        <v>6650769.9555000002</v>
      </c>
      <c r="X218" s="99" t="s">
        <v>751</v>
      </c>
      <c r="AH218" s="121">
        <v>37</v>
      </c>
      <c r="AI218" s="121" t="s">
        <v>4790</v>
      </c>
      <c r="AJ218" s="79">
        <v>74657561</v>
      </c>
      <c r="AK218" s="121">
        <v>16</v>
      </c>
      <c r="AL218" s="121">
        <f t="shared" si="47"/>
        <v>65</v>
      </c>
      <c r="AM218" s="121">
        <f t="shared" si="49"/>
        <v>4852741465</v>
      </c>
      <c r="AN218" s="121" t="s">
        <v>4799</v>
      </c>
    </row>
    <row r="219" spans="16:45">
      <c r="P219" s="99"/>
      <c r="Q219" s="99" t="s">
        <v>4670</v>
      </c>
      <c r="R219" s="95">
        <v>3000000</v>
      </c>
      <c r="T219" s="212" t="s">
        <v>4684</v>
      </c>
      <c r="U219" s="212">
        <v>29104</v>
      </c>
      <c r="V219" s="113">
        <v>242.4015</v>
      </c>
      <c r="W219" s="113">
        <f t="shared" si="46"/>
        <v>7054853.2560000001</v>
      </c>
      <c r="X219" s="99" t="s">
        <v>452</v>
      </c>
      <c r="AH219" s="99">
        <v>38</v>
      </c>
      <c r="AI219" s="99" t="s">
        <v>4887</v>
      </c>
      <c r="AJ219" s="117">
        <v>665000</v>
      </c>
      <c r="AK219" s="99">
        <v>0</v>
      </c>
      <c r="AL219" s="99">
        <f t="shared" si="47"/>
        <v>49</v>
      </c>
      <c r="AM219" s="20">
        <f t="shared" si="49"/>
        <v>32585000</v>
      </c>
      <c r="AN219" s="99"/>
    </row>
    <row r="220" spans="16:45">
      <c r="P220" s="99" t="s">
        <v>4917</v>
      </c>
      <c r="Q220" s="99" t="s">
        <v>4910</v>
      </c>
      <c r="R220" s="95">
        <v>-800000</v>
      </c>
      <c r="T220" s="215" t="s">
        <v>4719</v>
      </c>
      <c r="U220" s="215">
        <v>8991</v>
      </c>
      <c r="V220" s="113">
        <v>238.64867000000001</v>
      </c>
      <c r="W220" s="113">
        <f t="shared" si="46"/>
        <v>2145690.19197</v>
      </c>
      <c r="X220" s="99" t="s">
        <v>751</v>
      </c>
      <c r="Y220" t="s">
        <v>25</v>
      </c>
      <c r="AH220" s="149">
        <v>39</v>
      </c>
      <c r="AI220" s="149" t="s">
        <v>4887</v>
      </c>
      <c r="AJ220" s="189">
        <v>665000</v>
      </c>
      <c r="AK220" s="149">
        <v>4</v>
      </c>
      <c r="AL220" s="196">
        <f t="shared" si="47"/>
        <v>49</v>
      </c>
      <c r="AM220" s="196">
        <f t="shared" ref="AM220:AM221" si="50">AJ220*AL220</f>
        <v>32585000</v>
      </c>
      <c r="AN220" s="196"/>
    </row>
    <row r="221" spans="16:45">
      <c r="P221" s="99" t="s">
        <v>4918</v>
      </c>
      <c r="Q221" s="99" t="s">
        <v>4910</v>
      </c>
      <c r="R221" s="95">
        <v>-900000</v>
      </c>
      <c r="T221" s="215" t="s">
        <v>4719</v>
      </c>
      <c r="U221" s="215">
        <v>8991</v>
      </c>
      <c r="V221" s="113">
        <v>238.64867000000001</v>
      </c>
      <c r="W221" s="113">
        <f t="shared" si="46"/>
        <v>2145690.19197</v>
      </c>
      <c r="X221" s="99" t="s">
        <v>452</v>
      </c>
      <c r="AH221" s="20">
        <v>40</v>
      </c>
      <c r="AI221" s="20" t="s">
        <v>4902</v>
      </c>
      <c r="AJ221" s="117">
        <v>2000000</v>
      </c>
      <c r="AK221" s="20">
        <v>1</v>
      </c>
      <c r="AL221" s="99">
        <f t="shared" si="47"/>
        <v>45</v>
      </c>
      <c r="AM221" s="20">
        <f t="shared" si="50"/>
        <v>90000000</v>
      </c>
      <c r="AN221" s="99"/>
    </row>
    <row r="222" spans="16:45">
      <c r="P222" s="99" t="s">
        <v>4918</v>
      </c>
      <c r="Q222" s="99" t="s">
        <v>981</v>
      </c>
      <c r="R222" s="95">
        <v>-1100000</v>
      </c>
      <c r="T222" s="215" t="s">
        <v>4734</v>
      </c>
      <c r="U222" s="215">
        <v>18170</v>
      </c>
      <c r="V222" s="113">
        <v>240.48475999999999</v>
      </c>
      <c r="W222" s="113">
        <f t="shared" si="46"/>
        <v>4369608.0892000003</v>
      </c>
      <c r="X222" s="99" t="s">
        <v>751</v>
      </c>
      <c r="Y222" s="96"/>
      <c r="AH222" s="20">
        <v>41</v>
      </c>
      <c r="AI222" s="20" t="s">
        <v>4910</v>
      </c>
      <c r="AJ222" s="117">
        <v>-2060725</v>
      </c>
      <c r="AK222" s="20">
        <v>0</v>
      </c>
      <c r="AL222" s="99">
        <f t="shared" si="47"/>
        <v>44</v>
      </c>
      <c r="AM222" s="20">
        <f t="shared" ref="AM222:AM227" si="51">AJ222*AL222</f>
        <v>-90671900</v>
      </c>
      <c r="AN222" s="99" t="s">
        <v>4911</v>
      </c>
    </row>
    <row r="223" spans="16:45">
      <c r="P223" s="196" t="s">
        <v>1087</v>
      </c>
      <c r="Q223" s="196" t="s">
        <v>4951</v>
      </c>
      <c r="R223" s="245">
        <v>30000000</v>
      </c>
      <c r="S223" t="s">
        <v>25</v>
      </c>
      <c r="T223" s="215" t="s">
        <v>4734</v>
      </c>
      <c r="U223" s="215">
        <v>18170</v>
      </c>
      <c r="V223" s="113">
        <v>240.48475999999999</v>
      </c>
      <c r="W223" s="113">
        <f t="shared" si="46"/>
        <v>4369608.0892000003</v>
      </c>
      <c r="X223" s="99" t="s">
        <v>452</v>
      </c>
      <c r="Y223" t="s">
        <v>25</v>
      </c>
      <c r="AH223" s="149">
        <v>42</v>
      </c>
      <c r="AI223" s="149" t="s">
        <v>4910</v>
      </c>
      <c r="AJ223" s="189">
        <v>-433375</v>
      </c>
      <c r="AK223" s="149">
        <v>0</v>
      </c>
      <c r="AL223" s="149">
        <f t="shared" si="47"/>
        <v>44</v>
      </c>
      <c r="AM223" s="149">
        <f t="shared" si="51"/>
        <v>-19068500</v>
      </c>
      <c r="AN223" s="149" t="s">
        <v>4912</v>
      </c>
    </row>
    <row r="224" spans="16:45">
      <c r="P224" s="20" t="s">
        <v>5062</v>
      </c>
      <c r="Q224" s="20" t="s">
        <v>5058</v>
      </c>
      <c r="R224" s="250">
        <v>2000000</v>
      </c>
      <c r="T224" s="215" t="s">
        <v>4738</v>
      </c>
      <c r="U224" s="215">
        <v>36797</v>
      </c>
      <c r="V224" s="113">
        <v>239.0822</v>
      </c>
      <c r="W224" s="113">
        <f t="shared" si="46"/>
        <v>8797507.7134000007</v>
      </c>
      <c r="X224" s="99" t="s">
        <v>751</v>
      </c>
      <c r="Z224" t="s">
        <v>25</v>
      </c>
      <c r="AH224" s="20">
        <v>43</v>
      </c>
      <c r="AI224" s="20" t="s">
        <v>4910</v>
      </c>
      <c r="AJ224" s="117">
        <v>28000000</v>
      </c>
      <c r="AK224" s="20">
        <v>1</v>
      </c>
      <c r="AL224" s="99">
        <f t="shared" si="47"/>
        <v>44</v>
      </c>
      <c r="AM224" s="20">
        <f t="shared" si="51"/>
        <v>1232000000</v>
      </c>
      <c r="AN224" s="99" t="s">
        <v>3891</v>
      </c>
    </row>
    <row r="225" spans="16:44">
      <c r="P225" s="99"/>
      <c r="Q225" s="99"/>
      <c r="R225" s="95"/>
      <c r="T225" s="215" t="s">
        <v>4738</v>
      </c>
      <c r="U225" s="215">
        <v>36797</v>
      </c>
      <c r="V225" s="113">
        <v>239.0822</v>
      </c>
      <c r="W225" s="113">
        <f t="shared" si="46"/>
        <v>8797507.7134000007</v>
      </c>
      <c r="X225" s="99" t="s">
        <v>452</v>
      </c>
      <c r="AH225" s="20">
        <v>44</v>
      </c>
      <c r="AI225" s="20" t="s">
        <v>4921</v>
      </c>
      <c r="AJ225" s="117">
        <v>160000</v>
      </c>
      <c r="AK225" s="20">
        <v>0</v>
      </c>
      <c r="AL225" s="99">
        <f t="shared" si="47"/>
        <v>43</v>
      </c>
      <c r="AM225" s="20">
        <f t="shared" si="51"/>
        <v>6880000</v>
      </c>
      <c r="AN225" s="99"/>
    </row>
    <row r="226" spans="16:44">
      <c r="P226" s="99"/>
      <c r="Q226" s="99"/>
      <c r="R226" s="95">
        <f>SUM(R214:R224)</f>
        <v>43200000</v>
      </c>
      <c r="T226" s="215" t="s">
        <v>4749</v>
      </c>
      <c r="U226" s="215">
        <v>28066</v>
      </c>
      <c r="V226" s="113">
        <v>237.56970000000001</v>
      </c>
      <c r="W226" s="113">
        <f t="shared" si="46"/>
        <v>6667631.2002000008</v>
      </c>
      <c r="X226" s="99" t="s">
        <v>751</v>
      </c>
      <c r="AH226" s="149">
        <v>45</v>
      </c>
      <c r="AI226" s="149" t="s">
        <v>4921</v>
      </c>
      <c r="AJ226" s="189">
        <v>70000</v>
      </c>
      <c r="AK226" s="149">
        <v>9</v>
      </c>
      <c r="AL226" s="149">
        <f t="shared" si="47"/>
        <v>43</v>
      </c>
      <c r="AM226" s="149">
        <f t="shared" si="51"/>
        <v>3010000</v>
      </c>
      <c r="AN226" s="149"/>
    </row>
    <row r="227" spans="16:44">
      <c r="P227" s="99"/>
      <c r="Q227" s="99"/>
      <c r="R227" s="99" t="s">
        <v>6</v>
      </c>
      <c r="T227" s="215" t="s">
        <v>4749</v>
      </c>
      <c r="U227" s="215">
        <v>28066</v>
      </c>
      <c r="V227" s="113">
        <v>237.56970000000001</v>
      </c>
      <c r="W227" s="113">
        <f t="shared" si="46"/>
        <v>6667631.2002000008</v>
      </c>
      <c r="X227" s="99" t="s">
        <v>452</v>
      </c>
      <c r="AH227" s="20">
        <v>46</v>
      </c>
      <c r="AI227" s="20" t="s">
        <v>4935</v>
      </c>
      <c r="AJ227" s="117">
        <v>850000</v>
      </c>
      <c r="AK227" s="20">
        <v>0</v>
      </c>
      <c r="AL227" s="99">
        <f t="shared" si="47"/>
        <v>34</v>
      </c>
      <c r="AM227" s="20">
        <f t="shared" si="51"/>
        <v>28900000</v>
      </c>
      <c r="AN227" s="99"/>
    </row>
    <row r="228" spans="16:44">
      <c r="T228" s="215" t="s">
        <v>3684</v>
      </c>
      <c r="U228" s="215">
        <v>37457</v>
      </c>
      <c r="V228" s="113">
        <v>239.77</v>
      </c>
      <c r="W228" s="113">
        <f t="shared" si="46"/>
        <v>8981064.8900000006</v>
      </c>
      <c r="X228" s="99" t="s">
        <v>751</v>
      </c>
      <c r="AH228" s="196">
        <v>47</v>
      </c>
      <c r="AI228" s="196" t="s">
        <v>4935</v>
      </c>
      <c r="AJ228" s="197">
        <v>20000</v>
      </c>
      <c r="AK228" s="196">
        <v>4</v>
      </c>
      <c r="AL228" s="196">
        <f t="shared" ref="AL228:AL240" si="52">AK228+AL229</f>
        <v>34</v>
      </c>
      <c r="AM228" s="196">
        <f t="shared" ref="AM228:AM240" si="53">AJ228*AL228</f>
        <v>680000</v>
      </c>
      <c r="AN228" s="196"/>
      <c r="AQ228" t="s">
        <v>25</v>
      </c>
    </row>
    <row r="229" spans="16:44">
      <c r="Q229" s="96"/>
      <c r="R229" s="96" t="s">
        <v>25</v>
      </c>
      <c r="T229" s="215" t="s">
        <v>3684</v>
      </c>
      <c r="U229" s="215">
        <v>37457</v>
      </c>
      <c r="V229" s="113">
        <v>239.77</v>
      </c>
      <c r="W229" s="113">
        <f t="shared" si="46"/>
        <v>8981064.8900000006</v>
      </c>
      <c r="X229" s="99" t="s">
        <v>452</v>
      </c>
      <c r="AH229" s="196">
        <v>48</v>
      </c>
      <c r="AI229" s="196" t="s">
        <v>4951</v>
      </c>
      <c r="AJ229" s="197">
        <v>30000000</v>
      </c>
      <c r="AK229" s="196">
        <v>27</v>
      </c>
      <c r="AL229" s="196">
        <f t="shared" si="52"/>
        <v>30</v>
      </c>
      <c r="AM229" s="196">
        <f t="shared" si="53"/>
        <v>900000000</v>
      </c>
      <c r="AN229" s="196" t="s">
        <v>4953</v>
      </c>
    </row>
    <row r="230" spans="16:44">
      <c r="Q230" s="96"/>
      <c r="R230" s="96"/>
      <c r="T230" s="215" t="s">
        <v>4762</v>
      </c>
      <c r="U230" s="215">
        <v>38412</v>
      </c>
      <c r="V230" s="113">
        <v>239.03</v>
      </c>
      <c r="W230" s="113">
        <f t="shared" si="46"/>
        <v>9181620.3599999994</v>
      </c>
      <c r="X230" s="99" t="s">
        <v>751</v>
      </c>
      <c r="AH230" s="20">
        <v>49</v>
      </c>
      <c r="AI230" s="20" t="s">
        <v>5052</v>
      </c>
      <c r="AJ230" s="117">
        <v>1100000</v>
      </c>
      <c r="AK230" s="20">
        <v>1</v>
      </c>
      <c r="AL230" s="20">
        <f t="shared" si="52"/>
        <v>3</v>
      </c>
      <c r="AM230" s="20">
        <f t="shared" si="53"/>
        <v>3300000</v>
      </c>
      <c r="AN230" s="20"/>
    </row>
    <row r="231" spans="16:44">
      <c r="T231" s="215" t="s">
        <v>4762</v>
      </c>
      <c r="U231" s="215">
        <v>38412</v>
      </c>
      <c r="V231" s="113">
        <v>239.03</v>
      </c>
      <c r="W231" s="113">
        <f t="shared" si="46"/>
        <v>9181620.3599999994</v>
      </c>
      <c r="X231" s="99" t="s">
        <v>452</v>
      </c>
      <c r="AH231" s="20">
        <v>50</v>
      </c>
      <c r="AI231" s="20" t="s">
        <v>5054</v>
      </c>
      <c r="AJ231" s="117">
        <v>450000</v>
      </c>
      <c r="AK231" s="20">
        <v>0</v>
      </c>
      <c r="AL231" s="20">
        <f t="shared" si="52"/>
        <v>2</v>
      </c>
      <c r="AM231" s="20">
        <f t="shared" si="53"/>
        <v>900000</v>
      </c>
      <c r="AN231" s="20"/>
    </row>
    <row r="232" spans="16:44">
      <c r="Q232" s="99" t="s">
        <v>751</v>
      </c>
      <c r="R232" s="99"/>
      <c r="T232" s="215" t="s">
        <v>4772</v>
      </c>
      <c r="U232" s="215">
        <v>49555</v>
      </c>
      <c r="V232" s="113">
        <v>238.345</v>
      </c>
      <c r="W232" s="113">
        <f t="shared" si="46"/>
        <v>11811186.475</v>
      </c>
      <c r="X232" s="99" t="s">
        <v>751</v>
      </c>
      <c r="AH232" s="149">
        <v>51</v>
      </c>
      <c r="AI232" s="149" t="s">
        <v>5054</v>
      </c>
      <c r="AJ232" s="189">
        <v>550000</v>
      </c>
      <c r="AK232" s="149">
        <v>1</v>
      </c>
      <c r="AL232" s="149">
        <f t="shared" si="52"/>
        <v>2</v>
      </c>
      <c r="AM232" s="149">
        <f t="shared" si="53"/>
        <v>1100000</v>
      </c>
      <c r="AN232" s="149"/>
    </row>
    <row r="233" spans="16:44">
      <c r="Q233" s="99" t="s">
        <v>4444</v>
      </c>
      <c r="R233" s="95">
        <v>172908000</v>
      </c>
      <c r="T233" s="215" t="s">
        <v>4772</v>
      </c>
      <c r="U233" s="215">
        <v>49555</v>
      </c>
      <c r="V233" s="113">
        <v>238.345</v>
      </c>
      <c r="W233" s="113">
        <f t="shared" si="46"/>
        <v>11811186.475</v>
      </c>
      <c r="X233" s="99" t="s">
        <v>452</v>
      </c>
      <c r="AH233" s="149">
        <v>52</v>
      </c>
      <c r="AI233" s="149" t="s">
        <v>5056</v>
      </c>
      <c r="AJ233" s="189">
        <v>1000000</v>
      </c>
      <c r="AK233" s="149">
        <v>1</v>
      </c>
      <c r="AL233" s="149">
        <f t="shared" si="52"/>
        <v>1</v>
      </c>
      <c r="AM233" s="149">
        <f t="shared" si="53"/>
        <v>1000000</v>
      </c>
      <c r="AN233" s="149"/>
    </row>
    <row r="234" spans="16:44">
      <c r="Q234" s="99" t="s">
        <v>4485</v>
      </c>
      <c r="R234" s="95">
        <v>1400000</v>
      </c>
      <c r="T234" s="215" t="s">
        <v>4790</v>
      </c>
      <c r="U234" s="215">
        <v>160187</v>
      </c>
      <c r="V234" s="113">
        <v>257.49799999999999</v>
      </c>
      <c r="W234" s="113">
        <f t="shared" si="46"/>
        <v>41247832.126000002</v>
      </c>
      <c r="X234" s="99" t="s">
        <v>751</v>
      </c>
      <c r="AH234" s="20"/>
      <c r="AI234" s="20"/>
      <c r="AJ234" s="117"/>
      <c r="AK234" s="20"/>
      <c r="AL234" s="20">
        <f t="shared" si="52"/>
        <v>0</v>
      </c>
      <c r="AM234" s="20">
        <f t="shared" si="53"/>
        <v>0</v>
      </c>
      <c r="AN234" s="20"/>
    </row>
    <row r="235" spans="16:44">
      <c r="Q235" s="99" t="s">
        <v>4232</v>
      </c>
      <c r="R235" s="95">
        <v>247393</v>
      </c>
      <c r="T235" s="215" t="s">
        <v>4790</v>
      </c>
      <c r="U235" s="215">
        <v>160187</v>
      </c>
      <c r="V235" s="113">
        <v>257.49799999999999</v>
      </c>
      <c r="W235" s="113">
        <f t="shared" si="46"/>
        <v>41247832.126000002</v>
      </c>
      <c r="X235" s="99" t="s">
        <v>452</v>
      </c>
      <c r="AH235" s="20"/>
      <c r="AI235" s="20"/>
      <c r="AJ235" s="117"/>
      <c r="AK235" s="20"/>
      <c r="AL235" s="20">
        <f t="shared" si="52"/>
        <v>0</v>
      </c>
      <c r="AM235" s="20">
        <f t="shared" si="53"/>
        <v>0</v>
      </c>
      <c r="AN235" s="20"/>
    </row>
    <row r="236" spans="16:44">
      <c r="Q236" s="99" t="s">
        <v>4231</v>
      </c>
      <c r="R236" s="95">
        <v>6780000</v>
      </c>
      <c r="S236" t="s">
        <v>25</v>
      </c>
      <c r="T236" s="215" t="s">
        <v>4800</v>
      </c>
      <c r="U236" s="215">
        <v>144401</v>
      </c>
      <c r="V236" s="113">
        <v>258.5061</v>
      </c>
      <c r="W236" s="113">
        <f t="shared" si="46"/>
        <v>37328539.346100003</v>
      </c>
      <c r="X236" s="99" t="s">
        <v>751</v>
      </c>
      <c r="AH236" s="20"/>
      <c r="AI236" s="20"/>
      <c r="AJ236" s="117"/>
      <c r="AK236" s="20"/>
      <c r="AL236" s="20">
        <f t="shared" si="52"/>
        <v>0</v>
      </c>
      <c r="AM236" s="20">
        <f t="shared" si="53"/>
        <v>0</v>
      </c>
      <c r="AN236" s="20"/>
      <c r="AR236" t="s">
        <v>25</v>
      </c>
    </row>
    <row r="237" spans="16:44">
      <c r="Q237" s="99" t="s">
        <v>4595</v>
      </c>
      <c r="R237" s="95">
        <v>-4000000</v>
      </c>
      <c r="T237" s="215" t="s">
        <v>4800</v>
      </c>
      <c r="U237" s="215">
        <v>144401</v>
      </c>
      <c r="V237" s="113">
        <v>258.5061</v>
      </c>
      <c r="W237" s="113">
        <f t="shared" si="46"/>
        <v>37328539.346100003</v>
      </c>
      <c r="X237" s="99" t="s">
        <v>452</v>
      </c>
      <c r="AH237" s="20"/>
      <c r="AI237" s="20"/>
      <c r="AJ237" s="117"/>
      <c r="AK237" s="20"/>
      <c r="AL237" s="20">
        <f t="shared" si="52"/>
        <v>0</v>
      </c>
      <c r="AM237" s="20">
        <f t="shared" si="53"/>
        <v>0</v>
      </c>
      <c r="AN237" s="20"/>
      <c r="AR237" t="s">
        <v>25</v>
      </c>
    </row>
    <row r="238" spans="16:44">
      <c r="Q238" s="99" t="s">
        <v>4628</v>
      </c>
      <c r="R238" s="95">
        <v>16727037</v>
      </c>
      <c r="T238" s="168" t="s">
        <v>4809</v>
      </c>
      <c r="U238" s="168">
        <v>196500</v>
      </c>
      <c r="V238" s="113">
        <v>254.452</v>
      </c>
      <c r="W238" s="113">
        <f t="shared" si="46"/>
        <v>49999818</v>
      </c>
      <c r="X238" s="99" t="s">
        <v>4817</v>
      </c>
      <c r="AH238" s="20"/>
      <c r="AI238" s="20"/>
      <c r="AJ238" s="117"/>
      <c r="AK238" s="20"/>
      <c r="AL238" s="20">
        <f t="shared" si="52"/>
        <v>0</v>
      </c>
      <c r="AM238" s="20">
        <f t="shared" si="53"/>
        <v>0</v>
      </c>
      <c r="AN238" s="20"/>
    </row>
    <row r="239" spans="16:44">
      <c r="Q239" s="99" t="s">
        <v>4634</v>
      </c>
      <c r="R239" s="95">
        <v>46460683</v>
      </c>
      <c r="T239" s="215" t="s">
        <v>4809</v>
      </c>
      <c r="U239" s="215">
        <v>2561</v>
      </c>
      <c r="V239" s="113">
        <v>254.536</v>
      </c>
      <c r="W239" s="113">
        <f t="shared" si="46"/>
        <v>651866.696</v>
      </c>
      <c r="X239" s="99" t="s">
        <v>4818</v>
      </c>
      <c r="AH239" s="99"/>
      <c r="AI239" s="99"/>
      <c r="AJ239" s="117"/>
      <c r="AK239" s="99"/>
      <c r="AL239" s="99">
        <f t="shared" si="52"/>
        <v>0</v>
      </c>
      <c r="AM239" s="20">
        <f t="shared" si="53"/>
        <v>0</v>
      </c>
      <c r="AN239" s="99"/>
    </row>
    <row r="240" spans="16:44">
      <c r="Q240" s="99" t="s">
        <v>4637</v>
      </c>
      <c r="R240" s="95">
        <v>19663646</v>
      </c>
      <c r="S240" t="s">
        <v>25</v>
      </c>
      <c r="T240" s="215" t="s">
        <v>4869</v>
      </c>
      <c r="U240" s="215">
        <v>-11795</v>
      </c>
      <c r="V240" s="113">
        <v>254.334</v>
      </c>
      <c r="W240" s="113">
        <f t="shared" si="46"/>
        <v>-2999869.5300000003</v>
      </c>
      <c r="X240" s="99" t="s">
        <v>4870</v>
      </c>
      <c r="AH240" s="99"/>
      <c r="AI240" s="99"/>
      <c r="AJ240" s="117"/>
      <c r="AK240" s="99"/>
      <c r="AL240" s="99">
        <f t="shared" si="52"/>
        <v>0</v>
      </c>
      <c r="AM240" s="99">
        <f t="shared" si="53"/>
        <v>0</v>
      </c>
      <c r="AN240" s="99"/>
    </row>
    <row r="241" spans="17:40">
      <c r="Q241" s="99" t="s">
        <v>4664</v>
      </c>
      <c r="R241" s="95">
        <v>4374525</v>
      </c>
      <c r="T241" s="215" t="s">
        <v>4869</v>
      </c>
      <c r="U241" s="215">
        <v>11795</v>
      </c>
      <c r="V241" s="113">
        <v>254.334</v>
      </c>
      <c r="W241" s="113">
        <f t="shared" si="46"/>
        <v>2999869.5300000003</v>
      </c>
      <c r="X241" s="99" t="s">
        <v>4871</v>
      </c>
      <c r="AH241" s="99"/>
      <c r="AI241" s="99"/>
      <c r="AJ241" s="95">
        <f>SUM(AJ182:AJ240)</f>
        <v>309617098</v>
      </c>
      <c r="AK241" s="99"/>
      <c r="AL241" s="99"/>
      <c r="AM241" s="99">
        <f>SUM(AM182:AM240)</f>
        <v>22926371513</v>
      </c>
      <c r="AN241" s="95">
        <f>AM241*AN168/31</f>
        <v>12326252.709908742</v>
      </c>
    </row>
    <row r="242" spans="17:40">
      <c r="Q242" s="99" t="s">
        <v>4680</v>
      </c>
      <c r="R242" s="95">
        <v>6550580</v>
      </c>
      <c r="T242" s="215" t="s">
        <v>4887</v>
      </c>
      <c r="U242" s="215">
        <v>260</v>
      </c>
      <c r="V242" s="113">
        <v>263.19</v>
      </c>
      <c r="W242" s="113">
        <f t="shared" si="46"/>
        <v>68429.399999999994</v>
      </c>
      <c r="X242" s="99" t="s">
        <v>452</v>
      </c>
      <c r="AJ242" t="s">
        <v>4059</v>
      </c>
      <c r="AM242" t="s">
        <v>284</v>
      </c>
      <c r="AN242" t="s">
        <v>943</v>
      </c>
    </row>
    <row r="243" spans="17:40">
      <c r="Q243" s="99" t="s">
        <v>4684</v>
      </c>
      <c r="R243" s="95">
        <v>6650895</v>
      </c>
      <c r="T243" s="215" t="s">
        <v>4902</v>
      </c>
      <c r="U243" s="215">
        <v>15257</v>
      </c>
      <c r="V243" s="113">
        <v>262.19018</v>
      </c>
      <c r="W243" s="113">
        <f t="shared" si="46"/>
        <v>4000235.57626</v>
      </c>
      <c r="X243" s="99" t="s">
        <v>452</v>
      </c>
    </row>
    <row r="244" spans="17:40">
      <c r="Q244" s="99" t="s">
        <v>4719</v>
      </c>
      <c r="R244" s="95">
        <v>2145814</v>
      </c>
      <c r="T244" s="215" t="s">
        <v>4902</v>
      </c>
      <c r="U244" s="215">
        <v>8444</v>
      </c>
      <c r="V244" s="113">
        <v>266.43029999999999</v>
      </c>
      <c r="W244" s="113">
        <f t="shared" si="46"/>
        <v>2249737.4531999999</v>
      </c>
      <c r="X244" s="99" t="s">
        <v>452</v>
      </c>
      <c r="Y244" t="s">
        <v>25</v>
      </c>
      <c r="AI244" t="s">
        <v>4061</v>
      </c>
      <c r="AJ244" s="114">
        <f>AJ241+AN241</f>
        <v>321943350.70990872</v>
      </c>
    </row>
    <row r="245" spans="17:40">
      <c r="Q245" s="99" t="s">
        <v>4734</v>
      </c>
      <c r="R245" s="95">
        <v>4369730</v>
      </c>
      <c r="T245" s="215" t="s">
        <v>4910</v>
      </c>
      <c r="U245" s="215">
        <v>-6209</v>
      </c>
      <c r="V245" s="113">
        <v>273.79649999999998</v>
      </c>
      <c r="W245" s="113">
        <f t="shared" si="46"/>
        <v>-1700002.4685</v>
      </c>
      <c r="X245" s="99" t="s">
        <v>4923</v>
      </c>
      <c r="Y245" t="s">
        <v>25</v>
      </c>
      <c r="AI245" t="s">
        <v>4064</v>
      </c>
      <c r="AJ245" s="114">
        <f>SUM(N20:N33)</f>
        <v>391091955.49999994</v>
      </c>
    </row>
    <row r="246" spans="17:40">
      <c r="Q246" s="99" t="s">
        <v>4738</v>
      </c>
      <c r="R246" s="95">
        <v>8739459</v>
      </c>
      <c r="T246" s="215" t="s">
        <v>4910</v>
      </c>
      <c r="U246" s="215">
        <v>-8014</v>
      </c>
      <c r="V246" s="113">
        <v>273.79649999999998</v>
      </c>
      <c r="W246" s="113">
        <f t="shared" si="46"/>
        <v>-2194205.1510000001</v>
      </c>
      <c r="X246" s="99" t="s">
        <v>751</v>
      </c>
      <c r="AI246" t="s">
        <v>4136</v>
      </c>
      <c r="AJ246" s="114">
        <f>AJ245-AJ241</f>
        <v>81474857.49999994</v>
      </c>
    </row>
    <row r="247" spans="17:40">
      <c r="Q247" s="99" t="s">
        <v>4749</v>
      </c>
      <c r="R247" s="95">
        <v>6667654</v>
      </c>
      <c r="S247" t="s">
        <v>25</v>
      </c>
      <c r="T247" s="215" t="s">
        <v>4921</v>
      </c>
      <c r="U247" s="215">
        <v>-9176</v>
      </c>
      <c r="V247" s="113">
        <v>273.79649999999998</v>
      </c>
      <c r="W247" s="113">
        <f t="shared" si="46"/>
        <v>-2512356.6839999999</v>
      </c>
      <c r="X247" s="99" t="s">
        <v>452</v>
      </c>
      <c r="AI247" t="s">
        <v>943</v>
      </c>
      <c r="AJ247" s="114">
        <f>AN241</f>
        <v>12326252.709908742</v>
      </c>
    </row>
    <row r="248" spans="17:40">
      <c r="Q248" s="99" t="s">
        <v>4757</v>
      </c>
      <c r="R248" s="95">
        <v>8981245</v>
      </c>
      <c r="T248" s="215" t="s">
        <v>4921</v>
      </c>
      <c r="U248" s="215">
        <v>1087</v>
      </c>
      <c r="V248" s="113">
        <v>273.79649999999998</v>
      </c>
      <c r="W248" s="113">
        <f t="shared" si="46"/>
        <v>297616.79550000001</v>
      </c>
      <c r="X248" s="99" t="s">
        <v>452</v>
      </c>
      <c r="AI248" t="s">
        <v>4065</v>
      </c>
      <c r="AJ248" s="114">
        <f>AJ246-AJ247</f>
        <v>69148604.790091202</v>
      </c>
      <c r="AN248" t="s">
        <v>25</v>
      </c>
    </row>
    <row r="249" spans="17:40">
      <c r="Q249" s="99" t="s">
        <v>4762</v>
      </c>
      <c r="R249" s="95">
        <v>9181756</v>
      </c>
      <c r="T249" s="215" t="s">
        <v>981</v>
      </c>
      <c r="U249" s="215">
        <v>-4017</v>
      </c>
      <c r="V249" s="113">
        <v>273.79649999999998</v>
      </c>
      <c r="W249" s="113">
        <f t="shared" si="46"/>
        <v>-1099840.5404999999</v>
      </c>
      <c r="X249" s="99" t="s">
        <v>4451</v>
      </c>
      <c r="AN249" t="s">
        <v>25</v>
      </c>
    </row>
    <row r="250" spans="17:40">
      <c r="Q250" s="99" t="s">
        <v>4772</v>
      </c>
      <c r="R250" s="95">
        <v>11811208</v>
      </c>
      <c r="T250" s="215" t="s">
        <v>981</v>
      </c>
      <c r="U250" s="215">
        <v>4017</v>
      </c>
      <c r="V250" s="113">
        <v>273.79649999999998</v>
      </c>
      <c r="W250" s="113">
        <f t="shared" si="46"/>
        <v>1099840.5404999999</v>
      </c>
      <c r="X250" s="99" t="s">
        <v>452</v>
      </c>
    </row>
    <row r="251" spans="17:40">
      <c r="Q251" s="99" t="s">
        <v>4790</v>
      </c>
      <c r="R251" s="95">
        <v>41248054</v>
      </c>
      <c r="S251" t="s">
        <v>25</v>
      </c>
      <c r="T251" s="215" t="s">
        <v>4935</v>
      </c>
      <c r="U251" s="215">
        <v>3137</v>
      </c>
      <c r="V251" s="113">
        <v>283.69110000000001</v>
      </c>
      <c r="W251" s="113">
        <f t="shared" si="46"/>
        <v>889938.98070000007</v>
      </c>
      <c r="X251" s="99" t="s">
        <v>452</v>
      </c>
    </row>
    <row r="252" spans="17:40">
      <c r="Q252" s="99" t="s">
        <v>4800</v>
      </c>
      <c r="R252" s="95">
        <v>37328780</v>
      </c>
      <c r="S252" t="s">
        <v>25</v>
      </c>
      <c r="T252" s="215" t="s">
        <v>4951</v>
      </c>
      <c r="U252" s="215">
        <v>101933</v>
      </c>
      <c r="V252" s="113">
        <v>294.30973999999998</v>
      </c>
      <c r="W252" s="113">
        <f t="shared" si="46"/>
        <v>29999874.727419998</v>
      </c>
      <c r="X252" s="99" t="s">
        <v>1087</v>
      </c>
      <c r="AN252" t="s">
        <v>25</v>
      </c>
    </row>
    <row r="253" spans="17:40">
      <c r="Q253" s="99" t="s">
        <v>4910</v>
      </c>
      <c r="R253" s="95">
        <v>-2194100</v>
      </c>
      <c r="T253" s="215" t="s">
        <v>4964</v>
      </c>
      <c r="U253" s="215">
        <v>3407</v>
      </c>
      <c r="V253" s="113">
        <v>293.43799999999999</v>
      </c>
      <c r="W253" s="113">
        <f t="shared" si="46"/>
        <v>999743.26599999995</v>
      </c>
      <c r="X253" s="99" t="s">
        <v>452</v>
      </c>
    </row>
    <row r="254" spans="17:40">
      <c r="Q254" s="99" t="s">
        <v>4966</v>
      </c>
      <c r="R254" s="95">
        <v>20193916</v>
      </c>
      <c r="T254" s="215" t="s">
        <v>4966</v>
      </c>
      <c r="U254" s="215">
        <v>68796</v>
      </c>
      <c r="V254" s="113">
        <v>293.53250000000003</v>
      </c>
      <c r="W254" s="113">
        <f t="shared" si="46"/>
        <v>20193861.870000001</v>
      </c>
      <c r="X254" s="99" t="s">
        <v>751</v>
      </c>
    </row>
    <row r="255" spans="17:40">
      <c r="Q255" s="99" t="s">
        <v>5058</v>
      </c>
      <c r="R255" s="95">
        <v>-2000000</v>
      </c>
      <c r="T255" s="215" t="s">
        <v>4966</v>
      </c>
      <c r="U255" s="215">
        <v>154791</v>
      </c>
      <c r="V255" s="113">
        <v>293.53250000000003</v>
      </c>
      <c r="W255" s="113">
        <f t="shared" si="46"/>
        <v>45436189.207500003</v>
      </c>
      <c r="X255" s="99" t="s">
        <v>452</v>
      </c>
    </row>
    <row r="256" spans="17:40">
      <c r="Q256" s="99"/>
      <c r="R256" s="95"/>
      <c r="T256" s="215" t="s">
        <v>4966</v>
      </c>
      <c r="U256" s="215">
        <v>-11923</v>
      </c>
      <c r="V256" s="113">
        <v>293.53250000000003</v>
      </c>
      <c r="W256" s="113">
        <f t="shared" si="46"/>
        <v>-3499787.9975000005</v>
      </c>
      <c r="X256" s="99" t="s">
        <v>452</v>
      </c>
    </row>
    <row r="257" spans="17:25">
      <c r="Q257" s="99"/>
      <c r="R257" s="95">
        <f>SUM(R233:R256)</f>
        <v>424236275</v>
      </c>
      <c r="T257" s="215" t="s">
        <v>4989</v>
      </c>
      <c r="U257" s="215">
        <v>8424</v>
      </c>
      <c r="V257" s="113">
        <v>299.15170000000001</v>
      </c>
      <c r="W257" s="113">
        <f t="shared" si="46"/>
        <v>2520053.9208</v>
      </c>
      <c r="X257" s="99" t="s">
        <v>452</v>
      </c>
    </row>
    <row r="258" spans="17:25">
      <c r="Q258" s="99"/>
      <c r="R258" s="99" t="s">
        <v>6</v>
      </c>
      <c r="T258" s="215" t="s">
        <v>5029</v>
      </c>
      <c r="U258" s="215">
        <v>15943</v>
      </c>
      <c r="V258" s="113">
        <v>307.34415000000001</v>
      </c>
      <c r="W258" s="113">
        <f t="shared" si="46"/>
        <v>4899987.78345</v>
      </c>
      <c r="X258" s="99" t="s">
        <v>452</v>
      </c>
    </row>
    <row r="259" spans="17:25">
      <c r="T259" s="215" t="s">
        <v>5052</v>
      </c>
      <c r="U259" s="215">
        <v>3741</v>
      </c>
      <c r="V259" s="113">
        <v>307.34415000000001</v>
      </c>
      <c r="W259" s="113">
        <f t="shared" si="46"/>
        <v>1149774.4651500001</v>
      </c>
      <c r="X259" s="99" t="s">
        <v>452</v>
      </c>
    </row>
    <row r="260" spans="17:25">
      <c r="S260" t="s">
        <v>25</v>
      </c>
      <c r="T260" s="215" t="s">
        <v>5058</v>
      </c>
      <c r="U260" s="215">
        <v>-6207</v>
      </c>
      <c r="V260" s="113">
        <v>322.214</v>
      </c>
      <c r="W260" s="113">
        <f t="shared" si="46"/>
        <v>-1999982.298</v>
      </c>
      <c r="X260" s="99" t="s">
        <v>751</v>
      </c>
    </row>
    <row r="261" spans="17:25">
      <c r="Q261" s="99" t="s">
        <v>452</v>
      </c>
      <c r="R261" s="99"/>
      <c r="T261" s="215" t="s">
        <v>5058</v>
      </c>
      <c r="U261" s="215">
        <v>6207</v>
      </c>
      <c r="V261" s="113">
        <v>322.214</v>
      </c>
      <c r="W261" s="113">
        <f t="shared" si="46"/>
        <v>1999982.298</v>
      </c>
      <c r="X261" s="99" t="s">
        <v>4451</v>
      </c>
      <c r="Y261" t="s">
        <v>25</v>
      </c>
    </row>
    <row r="262" spans="17:25">
      <c r="Q262" s="99" t="s">
        <v>4444</v>
      </c>
      <c r="R262" s="95">
        <v>63115000</v>
      </c>
      <c r="T262" s="215" t="s">
        <v>5001</v>
      </c>
      <c r="U262" s="215">
        <v>776</v>
      </c>
      <c r="V262" s="113">
        <v>322.214</v>
      </c>
      <c r="W262" s="113">
        <f t="shared" si="46"/>
        <v>250038.06400000001</v>
      </c>
      <c r="X262" s="99" t="s">
        <v>452</v>
      </c>
    </row>
    <row r="263" spans="17:25">
      <c r="Q263" s="99" t="s">
        <v>4498</v>
      </c>
      <c r="R263" s="95">
        <v>13300000</v>
      </c>
      <c r="T263" s="168"/>
      <c r="U263" s="168"/>
      <c r="V263" s="113"/>
      <c r="W263" s="113"/>
      <c r="X263" s="99"/>
    </row>
    <row r="264" spans="17:25">
      <c r="Q264" s="99" t="s">
        <v>4506</v>
      </c>
      <c r="R264" s="95">
        <v>2269000</v>
      </c>
      <c r="T264" s="168"/>
      <c r="U264" s="168">
        <f>SUM(U196:U263)</f>
        <v>3557670</v>
      </c>
      <c r="V264" s="99"/>
      <c r="W264" s="99"/>
      <c r="X264" s="99"/>
    </row>
    <row r="265" spans="17:25">
      <c r="Q265" s="99" t="s">
        <v>4624</v>
      </c>
      <c r="R265" s="95">
        <v>25071612</v>
      </c>
      <c r="T265" s="99"/>
      <c r="U265" s="99" t="s">
        <v>6</v>
      </c>
      <c r="V265" s="99"/>
      <c r="W265" s="99"/>
      <c r="X265" s="99"/>
    </row>
    <row r="266" spans="17:25">
      <c r="Q266" s="99" t="s">
        <v>4634</v>
      </c>
      <c r="R266" s="95">
        <v>42236984</v>
      </c>
      <c r="T266" s="201" t="s">
        <v>4488</v>
      </c>
    </row>
    <row r="267" spans="17:25">
      <c r="Q267" s="99" t="s">
        <v>4637</v>
      </c>
      <c r="R267" s="95">
        <v>19663646</v>
      </c>
      <c r="T267" s="200">
        <f>R206/U264</f>
        <v>327.08953733763951</v>
      </c>
    </row>
    <row r="268" spans="17:25">
      <c r="Q268" s="99" t="s">
        <v>4664</v>
      </c>
      <c r="R268" s="95">
        <v>4374525</v>
      </c>
      <c r="W268" s="114"/>
    </row>
    <row r="269" spans="17:25">
      <c r="Q269" s="99" t="s">
        <v>4680</v>
      </c>
      <c r="R269" s="95">
        <v>6550580</v>
      </c>
      <c r="U269" s="96" t="s">
        <v>267</v>
      </c>
      <c r="V269" t="s">
        <v>4489</v>
      </c>
      <c r="X269" t="s">
        <v>25</v>
      </c>
    </row>
    <row r="270" spans="17:25">
      <c r="Q270" s="99" t="s">
        <v>4684</v>
      </c>
      <c r="R270" s="95">
        <v>7054895</v>
      </c>
      <c r="T270" s="114"/>
      <c r="U270" s="113">
        <v>250000</v>
      </c>
      <c r="V270">
        <f>U270/T267</f>
        <v>764.31671289423264</v>
      </c>
      <c r="X270" t="s">
        <v>25</v>
      </c>
    </row>
    <row r="271" spans="17:25">
      <c r="Q271" s="99" t="s">
        <v>4719</v>
      </c>
      <c r="R271" s="95">
        <v>2145814</v>
      </c>
      <c r="X271" t="s">
        <v>25</v>
      </c>
    </row>
    <row r="272" spans="17:25">
      <c r="Q272" s="99" t="s">
        <v>4734</v>
      </c>
      <c r="R272" s="95">
        <v>4369730</v>
      </c>
      <c r="W272" s="225"/>
      <c r="X272" s="96" t="s">
        <v>25</v>
      </c>
    </row>
    <row r="273" spans="17:22">
      <c r="Q273" s="99" t="s">
        <v>4738</v>
      </c>
      <c r="R273" s="95">
        <v>8739459</v>
      </c>
    </row>
    <row r="274" spans="17:22">
      <c r="Q274" s="99" t="s">
        <v>4749</v>
      </c>
      <c r="R274" s="95">
        <v>6667654</v>
      </c>
    </row>
    <row r="275" spans="17:22" ht="60">
      <c r="Q275" s="99" t="s">
        <v>3684</v>
      </c>
      <c r="R275" s="95">
        <v>8981245</v>
      </c>
      <c r="T275" s="22" t="s">
        <v>4472</v>
      </c>
      <c r="V275" s="225"/>
    </row>
    <row r="276" spans="17:22" ht="45">
      <c r="Q276" s="99" t="s">
        <v>4762</v>
      </c>
      <c r="R276" s="95">
        <v>9181756</v>
      </c>
      <c r="T276" s="22" t="s">
        <v>4473</v>
      </c>
    </row>
    <row r="277" spans="17:22">
      <c r="Q277" s="99" t="s">
        <v>4772</v>
      </c>
      <c r="R277" s="95">
        <v>11811208</v>
      </c>
    </row>
    <row r="278" spans="17:22">
      <c r="Q278" s="99" t="s">
        <v>4790</v>
      </c>
      <c r="R278" s="95">
        <v>41248054</v>
      </c>
    </row>
    <row r="279" spans="17:22">
      <c r="Q279" s="99" t="s">
        <v>4800</v>
      </c>
      <c r="R279" s="95">
        <v>37328780</v>
      </c>
      <c r="T279" s="99" t="s">
        <v>4490</v>
      </c>
      <c r="U279" s="99" t="s">
        <v>4461</v>
      </c>
      <c r="V279" s="99" t="s">
        <v>953</v>
      </c>
    </row>
    <row r="280" spans="17:22">
      <c r="Q280" s="99" t="s">
        <v>4809</v>
      </c>
      <c r="R280" s="95">
        <v>50000000</v>
      </c>
      <c r="T280" s="95">
        <f>R226+R257+R296</f>
        <v>889399220</v>
      </c>
      <c r="U280" s="95">
        <f>R206</f>
        <v>1163676634.3</v>
      </c>
      <c r="V280" s="95">
        <f>U280-T280</f>
        <v>274277414.29999995</v>
      </c>
    </row>
    <row r="281" spans="17:22">
      <c r="Q281" s="99" t="s">
        <v>4887</v>
      </c>
      <c r="R281" s="95">
        <v>68656</v>
      </c>
    </row>
    <row r="282" spans="17:22">
      <c r="Q282" s="99" t="s">
        <v>4902</v>
      </c>
      <c r="R282" s="95">
        <v>4000236</v>
      </c>
    </row>
    <row r="283" spans="17:22">
      <c r="Q283" s="99" t="s">
        <v>4902</v>
      </c>
      <c r="R283" s="95">
        <v>2250000</v>
      </c>
    </row>
    <row r="284" spans="17:22">
      <c r="Q284" s="99" t="s">
        <v>4910</v>
      </c>
      <c r="R284" s="95">
        <v>-2512200</v>
      </c>
    </row>
    <row r="285" spans="17:22">
      <c r="Q285" s="99" t="s">
        <v>4921</v>
      </c>
      <c r="R285" s="95">
        <v>300000</v>
      </c>
      <c r="T285" t="s">
        <v>25</v>
      </c>
    </row>
    <row r="286" spans="17:22">
      <c r="Q286" s="99" t="s">
        <v>981</v>
      </c>
      <c r="R286" s="95">
        <v>1100000</v>
      </c>
      <c r="T286" t="s">
        <v>25</v>
      </c>
    </row>
    <row r="287" spans="17:22">
      <c r="Q287" s="99" t="s">
        <v>4935</v>
      </c>
      <c r="R287" s="95">
        <v>890000</v>
      </c>
    </row>
    <row r="288" spans="17:22">
      <c r="Q288" s="99" t="s">
        <v>4964</v>
      </c>
      <c r="R288" s="95">
        <v>1000000</v>
      </c>
      <c r="T288" t="s">
        <v>25</v>
      </c>
    </row>
    <row r="289" spans="16:20">
      <c r="Q289" s="99" t="s">
        <v>4966</v>
      </c>
      <c r="R289" s="95">
        <v>45436311</v>
      </c>
      <c r="T289" t="s">
        <v>25</v>
      </c>
    </row>
    <row r="290" spans="16:20">
      <c r="Q290" s="99" t="s">
        <v>4966</v>
      </c>
      <c r="R290" s="95">
        <v>-3500000</v>
      </c>
    </row>
    <row r="291" spans="16:20">
      <c r="Q291" s="99" t="s">
        <v>4989</v>
      </c>
      <c r="R291" s="95">
        <v>2520000</v>
      </c>
    </row>
    <row r="292" spans="16:20">
      <c r="Q292" s="99" t="s">
        <v>5029</v>
      </c>
      <c r="R292" s="95">
        <v>4900000</v>
      </c>
      <c r="T292" t="s">
        <v>25</v>
      </c>
    </row>
    <row r="293" spans="16:20">
      <c r="Q293" s="99" t="s">
        <v>5052</v>
      </c>
      <c r="R293" s="95">
        <v>1150000</v>
      </c>
      <c r="T293" t="s">
        <v>25</v>
      </c>
    </row>
    <row r="294" spans="16:20">
      <c r="Q294" s="99" t="s">
        <v>5001</v>
      </c>
      <c r="R294" s="95">
        <v>250000</v>
      </c>
    </row>
    <row r="295" spans="16:20">
      <c r="Q295" s="99"/>
      <c r="R295" s="95"/>
      <c r="T295" t="s">
        <v>25</v>
      </c>
    </row>
    <row r="296" spans="16:20">
      <c r="Q296" s="99"/>
      <c r="R296" s="95">
        <f>SUM(R262:R295)</f>
        <v>421962945</v>
      </c>
      <c r="T296" t="s">
        <v>25</v>
      </c>
    </row>
    <row r="297" spans="16:20">
      <c r="Q297" s="99"/>
      <c r="R297" s="99" t="s">
        <v>6</v>
      </c>
    </row>
    <row r="300" spans="16:20">
      <c r="T300" t="s">
        <v>25</v>
      </c>
    </row>
    <row r="301" spans="16:20">
      <c r="T301" t="s">
        <v>25</v>
      </c>
    </row>
    <row r="303" spans="16:20">
      <c r="P303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4:I131 G122:G123 G142:G1048576 G132:G133 G135 G96:G113">
    <cfRule type="cellIs" dxfId="11" priority="12" operator="lessThan">
      <formula>0</formula>
    </cfRule>
  </conditionalFormatting>
  <conditionalFormatting sqref="G114">
    <cfRule type="cellIs" dxfId="10" priority="11" operator="lessThan">
      <formula>0</formula>
    </cfRule>
  </conditionalFormatting>
  <conditionalFormatting sqref="G117">
    <cfRule type="cellIs" dxfId="9" priority="3" operator="lessThan">
      <formula>0</formula>
    </cfRule>
  </conditionalFormatting>
  <conditionalFormatting sqref="G115">
    <cfRule type="cellIs" dxfId="8" priority="6" operator="lessThan">
      <formula>0</formula>
    </cfRule>
  </conditionalFormatting>
  <conditionalFormatting sqref="G118 G120">
    <cfRule type="cellIs" dxfId="7" priority="4" operator="lessThan">
      <formula>0</formula>
    </cfRule>
  </conditionalFormatting>
  <conditionalFormatting sqref="G121">
    <cfRule type="cellIs" dxfId="6" priority="1" operator="lessThan">
      <formula>0</formula>
    </cfRule>
  </conditionalFormatting>
  <conditionalFormatting sqref="G116">
    <cfRule type="cellIs" dxfId="5" priority="5" operator="lessThan">
      <formula>0</formula>
    </cfRule>
  </conditionalFormatting>
  <conditionalFormatting sqref="G11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8 S114:S115 S116:S118 S121 S127:S128 S123 S137 S37:S38 S151 S149 P22 S155 S132 S105 S43 S46 S48 G138 S16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2019-05-05T08:55:03Z</dcterms:modified>
</cp:coreProperties>
</file>