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Z44" i="18" l="1"/>
  <c r="AA42" i="18"/>
  <c r="Q42" i="18"/>
  <c r="N31" i="18"/>
  <c r="AB38" i="18"/>
  <c r="N36" i="18" l="1"/>
  <c r="N30" i="18" l="1"/>
  <c r="AH74" i="18"/>
  <c r="AJ73" i="18"/>
  <c r="AJ72" i="18" s="1"/>
  <c r="AJ71" i="18" s="1"/>
  <c r="AJ70" i="18" s="1"/>
  <c r="AJ69" i="18" s="1"/>
  <c r="AJ68" i="18" s="1"/>
  <c r="AJ67" i="18" s="1"/>
  <c r="AJ66" i="18" s="1"/>
  <c r="AJ65" i="18" s="1"/>
  <c r="AJ64" i="18" s="1"/>
  <c r="AA43" i="18" l="1"/>
  <c r="Y47" i="18"/>
  <c r="D57" i="46" l="1"/>
  <c r="N29" i="18" l="1"/>
  <c r="AJ63" i="18" l="1"/>
  <c r="AJ62" i="18" s="1"/>
  <c r="AK64" i="18"/>
  <c r="AB37" i="18"/>
  <c r="AC37" i="18" s="1"/>
  <c r="AD37" i="18" s="1"/>
  <c r="AC38" i="18"/>
  <c r="AD38" i="18" s="1"/>
  <c r="Y37" i="18"/>
  <c r="AA37" i="18" s="1"/>
  <c r="Y38" i="18"/>
  <c r="AA38" i="18" s="1"/>
  <c r="Y36" i="18"/>
  <c r="Y32" i="18"/>
  <c r="AA32" i="18" s="1"/>
  <c r="Y33" i="18"/>
  <c r="AA33" i="18" s="1"/>
  <c r="Y31" i="18"/>
  <c r="AA31" i="18" s="1"/>
  <c r="X46" i="18"/>
  <c r="AK63" i="18" l="1"/>
  <c r="AJ61" i="18"/>
  <c r="AK62" i="18"/>
  <c r="Q59" i="18"/>
  <c r="AK61" i="18" l="1"/>
  <c r="AJ60" i="18"/>
  <c r="N19" i="18"/>
  <c r="Q56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S35" i="18" s="1"/>
  <c r="S36" i="18" s="1"/>
  <c r="AJ50" i="18" l="1"/>
  <c r="AK51" i="18"/>
  <c r="E41" i="14"/>
  <c r="G41" i="14" s="1"/>
  <c r="U28" i="18"/>
  <c r="AJ49" i="18" l="1"/>
  <c r="AK50" i="18"/>
  <c r="E40" i="14"/>
  <c r="G40" i="14" s="1"/>
  <c r="N28" i="18"/>
  <c r="AJ48" i="18" l="1"/>
  <c r="AK49" i="18"/>
  <c r="E39" i="14"/>
  <c r="G39" i="14" s="1"/>
  <c r="K196" i="20"/>
  <c r="K197" i="20"/>
  <c r="K198" i="20"/>
  <c r="K199" i="20"/>
  <c r="K200" i="20"/>
  <c r="K201" i="20"/>
  <c r="K202" i="20"/>
  <c r="K203" i="20"/>
  <c r="K204" i="20"/>
  <c r="K205" i="20"/>
  <c r="K206" i="20"/>
  <c r="J196" i="20"/>
  <c r="J197" i="20"/>
  <c r="J198" i="20"/>
  <c r="J199" i="20"/>
  <c r="J200" i="20"/>
  <c r="J201" i="20"/>
  <c r="J202" i="20"/>
  <c r="J203" i="20"/>
  <c r="J204" i="20"/>
  <c r="J205" i="20"/>
  <c r="J206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I195" i="20" l="1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74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74" i="18" l="1"/>
  <c r="AH79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5" i="18" s="1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0" i="18" l="1"/>
  <c r="N39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0" i="18" l="1"/>
  <c r="L39" i="18"/>
  <c r="E33" i="13"/>
  <c r="G34" i="13"/>
  <c r="I97" i="20"/>
  <c r="K97" i="20"/>
  <c r="J97" i="20"/>
  <c r="F108" i="15"/>
  <c r="C20" i="18"/>
  <c r="G20" i="14"/>
  <c r="G21" i="14"/>
  <c r="F20" i="18" l="1"/>
  <c r="L4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Z42" i="18" s="1"/>
  <c r="Z41" i="18" l="1"/>
  <c r="AA41" i="18" s="1"/>
  <c r="AB36" i="18"/>
  <c r="AC36" i="18" s="1"/>
  <c r="AD36" i="18" s="1"/>
  <c r="AA36" i="18"/>
  <c r="AH80" i="18" l="1"/>
  <c r="AH82" i="18" l="1"/>
  <c r="AH81" i="18"/>
  <c r="AI83" i="18" s="1"/>
</calcChain>
</file>

<file path=xl/sharedStrings.xml><?xml version="1.0" encoding="utf-8"?>
<sst xmlns="http://schemas.openxmlformats.org/spreadsheetml/2006/main" count="8831" uniqueCount="4215">
  <si>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</si>
  <si>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</si>
  <si>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</si>
  <si>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</si>
  <si>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</si>
  <si>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</si>
  <si>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</si>
  <si>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</si>
  <si>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</si>
  <si>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</si>
  <si>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</si>
  <si>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</si>
  <si>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</si>
  <si>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</si>
  <si>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</si>
  <si>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</si>
  <si>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</si>
  <si>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</si>
  <si>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</si>
  <si>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</si>
  <si>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</si>
  <si>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</si>
  <si>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</si>
  <si>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</si>
  <si>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</si>
  <si>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</si>
  <si>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</si>
  <si>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</si>
  <si>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</si>
  <si>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</si>
  <si>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</si>
  <si>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</si>
  <si>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</si>
  <si>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</si>
  <si>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</si>
  <si>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</si>
  <si>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</si>
  <si>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</si>
  <si>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</si>
  <si>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</si>
  <si>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</si>
  <si>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</si>
  <si>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</si>
  <si>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</si>
  <si>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</si>
  <si>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</si>
  <si>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</si>
  <si>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</si>
  <si>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</si>
  <si>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</si>
  <si>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</si>
  <si>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</si>
  <si>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</si>
  <si>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</si>
  <si>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</si>
  <si>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</si>
  <si>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</si>
  <si>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</si>
  <si>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</si>
  <si>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</si>
  <si>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</si>
  <si>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</si>
  <si>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</si>
  <si>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</si>
  <si>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</si>
  <si>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</si>
  <si>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</si>
  <si>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</si>
  <si>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</si>
  <si>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</si>
  <si>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</si>
  <si>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</si>
  <si>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</si>
  <si>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</si>
  <si>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</si>
  <si>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</si>
  <si>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</si>
  <si>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</si>
  <si>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</si>
  <si>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</si>
  <si>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</si>
  <si>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</si>
  <si>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</si>
  <si>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</si>
  <si>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</si>
  <si>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</si>
  <si>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</si>
  <si>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</si>
  <si>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</si>
  <si>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</si>
  <si>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</si>
  <si>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</si>
  <si>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</si>
  <si>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</si>
  <si>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</si>
  <si>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</si>
  <si>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</si>
  <si>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</si>
  <si>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</si>
  <si>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</si>
  <si>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</si>
  <si>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</si>
  <si>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</si>
  <si>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</si>
  <si>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</si>
  <si>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</si>
  <si>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</si>
  <si>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</si>
  <si>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</si>
  <si>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</si>
  <si>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</si>
  <si>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</si>
  <si>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</si>
  <si>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</si>
  <si>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</si>
  <si>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</si>
  <si>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</si>
  <si>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</si>
  <si>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</si>
  <si>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</si>
  <si>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</si>
  <si>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</si>
  <si>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</si>
  <si>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</si>
  <si>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</si>
  <si>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</si>
  <si>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</si>
  <si>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</si>
  <si>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</si>
  <si>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</si>
  <si>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</si>
  <si>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</si>
  <si>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</si>
  <si>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</si>
  <si>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</si>
  <si>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</si>
  <si>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</si>
  <si>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</si>
  <si>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</si>
  <si>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</si>
  <si>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</si>
  <si>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</si>
  <si>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</si>
  <si>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</si>
  <si>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</si>
  <si>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</si>
  <si>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</si>
  <si>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</si>
  <si>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</si>
  <si>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</si>
  <si>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</si>
  <si>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</si>
  <si>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</si>
  <si>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</si>
  <si>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</si>
  <si>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</si>
  <si>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</si>
  <si>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</si>
  <si>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</si>
  <si>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</si>
  <si>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</si>
  <si>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</si>
  <si>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</si>
  <si>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</si>
  <si>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</si>
  <si>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</si>
  <si>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</si>
  <si>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</si>
  <si>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</si>
  <si>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</si>
  <si>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</si>
  <si>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</si>
  <si>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</si>
  <si>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</si>
  <si>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</si>
  <si>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</si>
  <si>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</si>
  <si>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</si>
  <si>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</si>
  <si>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</si>
  <si>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</si>
  <si>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</si>
  <si>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</si>
  <si>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</si>
  <si>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</si>
  <si>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</si>
  <si>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</si>
  <si>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</si>
  <si>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</si>
  <si>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</si>
  <si>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</si>
  <si>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</si>
  <si>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</si>
  <si>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</si>
  <si>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</si>
  <si>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</si>
  <si>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</si>
  <si>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</si>
  <si>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</si>
  <si>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</si>
  <si>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</si>
  <si>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</si>
  <si>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</si>
  <si>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</si>
  <si>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</si>
  <si>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</si>
  <si>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</si>
  <si>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</si>
  <si>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</si>
  <si>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</si>
  <si>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</si>
  <si>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</si>
  <si>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</si>
  <si>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</si>
  <si>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</si>
  <si>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</si>
  <si>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</si>
  <si>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</si>
  <si>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</si>
  <si>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</si>
  <si>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</si>
  <si>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</si>
  <si>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</si>
  <si>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</si>
  <si>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</si>
  <si>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</si>
  <si>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</si>
  <si>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</si>
  <si>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</si>
  <si>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</si>
  <si>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</si>
  <si>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</si>
  <si>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</si>
  <si>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</si>
  <si>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</si>
  <si>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</si>
  <si>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</si>
  <si>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</si>
  <si>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</si>
  <si>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</si>
  <si>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</si>
  <si>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</si>
  <si>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</si>
  <si>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</si>
  <si>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</si>
  <si>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</si>
  <si>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</si>
  <si>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</si>
  <si>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</si>
  <si>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</si>
  <si>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</si>
  <si>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</si>
  <si>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</si>
  <si>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</si>
  <si>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</si>
  <si>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</si>
  <si>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</si>
  <si>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</si>
  <si>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</si>
  <si>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</si>
  <si>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</si>
  <si>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</si>
  <si>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</si>
  <si>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</si>
  <si>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</si>
  <si>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</si>
  <si>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</si>
  <si>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</si>
  <si>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</si>
  <si>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</si>
  <si>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</si>
  <si>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</si>
  <si>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</si>
  <si>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</si>
  <si>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</si>
  <si>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</si>
  <si>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</si>
  <si>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</si>
  <si>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</si>
  <si>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</si>
  <si>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</si>
  <si>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</si>
  <si>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</si>
  <si>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</si>
  <si>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</si>
  <si>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</si>
  <si>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</si>
  <si>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</si>
  <si>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</si>
  <si>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</si>
  <si>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</si>
  <si>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</si>
  <si>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</si>
  <si>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</si>
  <si>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</si>
  <si>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</si>
  <si>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</si>
  <si>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</si>
  <si>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</si>
  <si>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</si>
  <si>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</si>
  <si>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</si>
  <si>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</si>
  <si>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</si>
  <si>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</si>
  <si>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</si>
  <si>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</si>
  <si>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</si>
  <si>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</si>
  <si>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</si>
  <si>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</si>
  <si>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</si>
  <si>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</si>
  <si>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</si>
  <si>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</si>
  <si>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</si>
  <si>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</si>
  <si>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</si>
  <si>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</si>
  <si>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</si>
  <si>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</si>
  <si>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</si>
  <si>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</si>
  <si>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</si>
  <si>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</si>
  <si>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</si>
  <si>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</si>
  <si>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</si>
  <si>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</si>
  <si>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</si>
  <si>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</si>
  <si>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</si>
  <si>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</si>
  <si>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</si>
  <si>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</si>
  <si>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</si>
  <si>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</si>
  <si>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</si>
  <si>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</si>
  <si>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</si>
  <si>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</si>
  <si>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</si>
  <si>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</si>
  <si>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</si>
  <si>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</si>
  <si>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</si>
  <si>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</si>
  <si>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</si>
  <si>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</si>
  <si>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</si>
  <si>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</si>
  <si>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</si>
  <si>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</si>
  <si>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</si>
  <si>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</si>
  <si>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</si>
  <si>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</si>
  <si>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</si>
  <si>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</si>
  <si>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</si>
  <si>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</si>
  <si>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</si>
  <si>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</si>
  <si>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</si>
  <si>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</si>
  <si>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</si>
  <si>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</si>
  <si>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</si>
  <si>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</si>
  <si>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</si>
  <si>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</si>
  <si>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</si>
  <si>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</si>
  <si>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</si>
  <si>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</si>
  <si>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</si>
  <si>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</si>
  <si>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</si>
  <si>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</si>
  <si>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</si>
  <si>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</si>
  <si>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</si>
  <si>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</si>
  <si>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</si>
  <si>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</si>
  <si>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</si>
  <si>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</si>
  <si>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</si>
  <si>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</si>
  <si>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</si>
  <si>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</si>
  <si>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</si>
  <si>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</si>
  <si>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</si>
  <si>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</si>
  <si>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</si>
  <si>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</si>
  <si>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</si>
  <si>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</si>
  <si>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</si>
  <si>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</si>
  <si>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</si>
  <si>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</si>
  <si>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</si>
  <si>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</si>
  <si>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</si>
  <si>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</si>
  <si>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</si>
  <si>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</si>
  <si>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</si>
  <si>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</si>
  <si>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</si>
  <si>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</si>
  <si>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</si>
  <si>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</si>
  <si>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</si>
  <si>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</si>
  <si>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</si>
  <si>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</si>
  <si>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</si>
  <si>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</si>
  <si>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</si>
  <si>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</si>
  <si>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</si>
  <si>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</si>
  <si>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</si>
  <si>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</si>
  <si>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</si>
  <si>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</si>
  <si>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</si>
  <si>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</si>
  <si>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</si>
  <si>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</si>
  <si>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</si>
  <si>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</si>
  <si>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</si>
  <si>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</si>
  <si>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</si>
  <si>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</si>
  <si>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</si>
  <si>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</si>
  <si>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</si>
  <si>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</si>
  <si>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</si>
  <si>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</si>
  <si>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</si>
  <si>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</si>
  <si>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</si>
  <si>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</si>
  <si>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</si>
  <si>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</si>
  <si>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</si>
  <si>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</si>
  <si>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</si>
  <si>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</si>
  <si>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</si>
  <si>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</si>
  <si>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</si>
  <si>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</si>
  <si>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</si>
  <si>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</si>
  <si>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</si>
  <si>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</si>
  <si>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</si>
  <si>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</si>
  <si>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</si>
  <si>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</si>
  <si>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</si>
  <si>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</si>
  <si>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</si>
  <si>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</si>
  <si>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</si>
  <si>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</si>
  <si>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</si>
  <si>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</si>
  <si>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</si>
  <si>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</si>
  <si>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</si>
  <si>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</si>
  <si>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</si>
  <si>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</si>
  <si>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</si>
  <si>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</si>
  <si>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</si>
  <si>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</si>
  <si>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</si>
  <si>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</si>
  <si>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</si>
  <si>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</si>
  <si>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</si>
  <si>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</si>
  <si>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</si>
  <si>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</si>
  <si>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</si>
  <si>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</si>
  <si>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</si>
  <si>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</si>
  <si>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</si>
  <si>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</si>
  <si>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</si>
  <si>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</si>
  <si>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</si>
  <si>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</si>
  <si>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</si>
  <si>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</si>
  <si>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</si>
  <si>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</si>
  <si>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</si>
  <si>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</si>
  <si>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</si>
  <si>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</si>
  <si>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</si>
  <si>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</si>
  <si>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</si>
  <si>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</si>
  <si>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</si>
  <si>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</si>
  <si>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</si>
  <si>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</si>
  <si>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</si>
  <si>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</si>
  <si>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</si>
  <si>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</si>
  <si>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</si>
  <si>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</si>
  <si>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</si>
  <si>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</si>
  <si>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</si>
  <si>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</si>
  <si>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</si>
  <si>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</si>
  <si>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</si>
  <si>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</si>
  <si>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</si>
  <si>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</si>
  <si>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</si>
  <si>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</si>
  <si>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</si>
  <si>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</si>
  <si>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</si>
  <si>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</si>
  <si>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</si>
  <si>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</si>
  <si>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</si>
  <si>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</si>
  <si>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</si>
  <si>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</si>
  <si>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</si>
  <si>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</si>
  <si>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</si>
  <si>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</si>
  <si>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</si>
  <si>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</si>
  <si>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</si>
  <si>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</si>
  <si>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</si>
  <si>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</si>
  <si>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</si>
  <si>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</si>
  <si>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</si>
  <si>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</si>
  <si>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</si>
  <si>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</si>
  <si>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</si>
  <si>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</si>
  <si>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</si>
  <si>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</si>
  <si>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</si>
  <si>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</si>
  <si>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</si>
  <si>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</si>
  <si>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</si>
  <si>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</si>
  <si>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</si>
  <si>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</si>
  <si>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</si>
  <si>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</si>
  <si>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</si>
  <si>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</si>
  <si>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</si>
  <si>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</si>
  <si>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</si>
  <si>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</si>
  <si>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</si>
  <si>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</si>
  <si>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</si>
  <si>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</si>
  <si>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</si>
  <si>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</si>
  <si>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</si>
  <si>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</si>
  <si>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</si>
  <si>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</si>
  <si>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</si>
  <si>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</si>
  <si>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</si>
  <si>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</si>
  <si>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</si>
  <si>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</si>
  <si>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</si>
  <si>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</si>
  <si>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</si>
  <si>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</si>
  <si>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</si>
  <si>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</si>
  <si>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</si>
  <si>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</si>
  <si>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</si>
  <si>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</si>
  <si>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</si>
  <si>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</si>
  <si>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</si>
  <si>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</si>
  <si>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</si>
  <si>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</si>
  <si>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</si>
  <si>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</si>
  <si>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</si>
  <si>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</si>
  <si>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</si>
  <si>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</si>
  <si>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</si>
  <si>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</si>
  <si>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</si>
  <si>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</si>
  <si>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</si>
  <si>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</si>
  <si>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</si>
  <si>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</si>
  <si>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</si>
  <si>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</si>
  <si>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</si>
  <si>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</si>
  <si>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</si>
  <si>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</si>
  <si>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</si>
  <si>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</si>
  <si>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</si>
  <si>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</si>
  <si>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</si>
  <si>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</si>
  <si>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</si>
  <si>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</si>
  <si>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</si>
  <si>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</si>
  <si>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</si>
  <si>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</si>
  <si>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</si>
  <si>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</si>
  <si>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</si>
  <si>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</si>
  <si>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</si>
  <si>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</si>
  <si>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</si>
  <si>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</si>
  <si>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</si>
  <si>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</si>
  <si>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</si>
  <si>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</si>
  <si>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</si>
  <si>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</si>
  <si>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</si>
  <si>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</si>
  <si>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</si>
  <si>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</si>
  <si>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</si>
  <si>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</si>
  <si>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</si>
  <si>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</si>
  <si>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</si>
  <si>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</si>
  <si>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</si>
  <si>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</si>
  <si>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</si>
  <si>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</si>
  <si>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</si>
  <si>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</si>
  <si>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</si>
  <si>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</si>
  <si>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</si>
  <si>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</si>
  <si>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</si>
  <si>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</si>
  <si>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</si>
  <si>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</si>
  <si>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</si>
  <si>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</si>
  <si>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</si>
  <si>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</si>
  <si>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</si>
  <si>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</si>
  <si>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</si>
  <si>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</si>
  <si>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</si>
  <si>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</si>
  <si>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</si>
  <si>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</si>
  <si>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</si>
  <si>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</si>
  <si>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</si>
  <si>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</si>
  <si>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</si>
  <si>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</si>
  <si>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</si>
  <si>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</si>
  <si>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</si>
  <si>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</si>
  <si>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</si>
  <si>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</si>
  <si>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</si>
  <si>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</si>
  <si>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</si>
  <si>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</si>
  <si>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</si>
  <si>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</si>
  <si>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</si>
  <si>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</si>
  <si>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</si>
  <si>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</si>
  <si>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</si>
  <si>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</si>
  <si>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</si>
  <si>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</si>
  <si>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</si>
  <si>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</si>
  <si>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</si>
  <si>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</si>
  <si>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</si>
  <si>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</si>
  <si>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</si>
  <si>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</si>
  <si>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</si>
  <si>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</si>
  <si>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</si>
  <si>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</si>
  <si>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</si>
  <si>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</si>
  <si>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</si>
  <si>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</si>
  <si>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</si>
  <si>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</si>
  <si>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</si>
  <si>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</si>
  <si>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</si>
  <si>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</si>
  <si>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</si>
  <si>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</si>
  <si>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</si>
  <si>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</si>
  <si>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</si>
  <si>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</si>
  <si>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</si>
  <si>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</si>
  <si>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</si>
  <si>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</si>
  <si>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</si>
  <si>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</si>
  <si>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</si>
  <si>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</si>
  <si>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</si>
  <si>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</si>
  <si>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</si>
  <si>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</si>
  <si>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</si>
  <si>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</si>
  <si>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</si>
  <si>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</si>
  <si>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</si>
  <si>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</si>
  <si>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</si>
  <si>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</si>
  <si>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</si>
  <si>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</si>
  <si>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</si>
  <si>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</si>
  <si>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</si>
  <si>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</si>
  <si>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</si>
  <si>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</si>
  <si>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</si>
  <si>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</si>
  <si>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</si>
  <si>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</si>
  <si>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</si>
  <si>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</si>
  <si>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</si>
  <si>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</si>
  <si>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</si>
  <si>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</si>
  <si>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</si>
  <si>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</si>
  <si>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</si>
  <si>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</si>
  <si>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</si>
  <si>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</si>
  <si>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</si>
  <si>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</si>
  <si>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</si>
  <si>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</si>
  <si>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</si>
  <si>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</si>
  <si>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</si>
  <si>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</si>
  <si>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</si>
  <si>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</si>
  <si>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</si>
  <si>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</si>
  <si>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</si>
  <si>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</si>
  <si>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</si>
  <si>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</si>
  <si>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</si>
  <si>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</si>
  <si>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</si>
  <si>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</si>
  <si>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</si>
  <si>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</si>
  <si>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</si>
  <si>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</si>
  <si>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</si>
  <si>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</si>
  <si>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</si>
  <si>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</si>
  <si>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</si>
  <si>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</si>
  <si>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</si>
  <si>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</si>
  <si>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</si>
  <si>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</si>
  <si>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</si>
  <si>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</si>
  <si>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</si>
  <si>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</si>
  <si>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</si>
  <si>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</si>
  <si>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</si>
  <si>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</si>
  <si>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</si>
  <si>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</si>
  <si>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</si>
  <si>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</si>
  <si>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</si>
  <si>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</si>
  <si>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</si>
  <si>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</si>
  <si>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</si>
  <si>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</si>
  <si>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</si>
  <si>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</si>
  <si>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</si>
  <si>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</si>
  <si>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</si>
  <si>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</si>
  <si>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</si>
  <si>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</si>
  <si>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</si>
  <si>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</si>
  <si>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</si>
  <si>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</si>
  <si>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</si>
  <si>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</si>
  <si>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</si>
  <si>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</si>
  <si>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</si>
  <si>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</si>
  <si>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</si>
  <si>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</si>
  <si>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</si>
  <si>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</si>
  <si>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</si>
  <si>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</si>
  <si>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</si>
  <si>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</si>
  <si>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</si>
  <si>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</si>
  <si>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</si>
  <si>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</si>
  <si>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</si>
  <si>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</si>
  <si>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</si>
  <si>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</si>
  <si>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</si>
  <si>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</si>
  <si>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</si>
  <si>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</si>
  <si>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</si>
  <si>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</si>
  <si>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</si>
  <si>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</si>
  <si>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</si>
  <si>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</si>
  <si>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</si>
  <si>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</si>
  <si>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</si>
  <si>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</si>
  <si>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</si>
  <si>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</si>
  <si>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</si>
  <si>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</si>
  <si>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</si>
  <si>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</si>
  <si>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</si>
  <si>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</si>
  <si>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</si>
  <si>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</si>
  <si>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</si>
  <si>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</si>
  <si>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</si>
  <si>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</si>
  <si>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</si>
  <si>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</si>
  <si>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</si>
  <si>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</si>
  <si>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</si>
  <si>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</si>
  <si>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</si>
  <si>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</si>
  <si>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</si>
  <si>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</si>
  <si>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</si>
  <si>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</si>
  <si>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</si>
  <si>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</si>
  <si>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</si>
  <si>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</si>
  <si>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</si>
  <si>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</si>
  <si>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</si>
  <si>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</si>
  <si>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</si>
  <si>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</si>
  <si>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</si>
  <si>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</si>
  <si>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</si>
  <si>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</si>
  <si>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</si>
  <si>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</si>
  <si>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</si>
  <si>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</si>
  <si>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</si>
  <si>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</si>
  <si>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</si>
  <si>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</si>
  <si>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</si>
  <si>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</si>
  <si>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</si>
  <si>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</si>
  <si>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</si>
  <si>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</si>
  <si>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</si>
  <si>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</si>
  <si>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</si>
  <si>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</si>
  <si>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</si>
  <si>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</si>
  <si>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</si>
  <si>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</si>
  <si>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</si>
  <si>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</si>
  <si>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</si>
  <si>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</si>
  <si>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</si>
  <si>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</si>
  <si>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</si>
  <si>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</si>
  <si>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</si>
  <si>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</si>
  <si>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</si>
  <si>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</si>
  <si>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</si>
  <si>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</si>
  <si>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</si>
  <si>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</si>
  <si>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</si>
  <si>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</si>
  <si>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</si>
  <si>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</si>
  <si>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</si>
  <si>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</si>
  <si>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</si>
  <si>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</si>
  <si>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</si>
  <si>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</si>
  <si>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</si>
  <si>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</si>
  <si>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</si>
  <si>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</si>
  <si>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</si>
  <si>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</si>
  <si>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</si>
  <si>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</si>
  <si>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</si>
  <si>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</si>
  <si>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</si>
  <si>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</si>
  <si>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</si>
  <si>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</si>
  <si>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</si>
  <si>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</si>
  <si>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</si>
  <si>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</si>
  <si>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</si>
  <si>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</si>
  <si>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</si>
  <si>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</si>
  <si>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</si>
  <si>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</si>
  <si>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</si>
  <si>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</si>
  <si>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</si>
  <si>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</si>
  <si>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</si>
  <si>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</si>
  <si>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</si>
  <si>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</si>
  <si>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</si>
  <si>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</si>
  <si>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</si>
  <si>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</si>
  <si>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</si>
  <si>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</si>
  <si>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</si>
  <si>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</si>
  <si>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</si>
  <si>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</si>
  <si>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</si>
  <si>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</si>
  <si>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</si>
  <si>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</si>
  <si>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</si>
  <si>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</si>
  <si>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</si>
  <si>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</si>
  <si>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</si>
  <si>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</si>
  <si>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</si>
  <si>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</si>
  <si>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</si>
  <si>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</si>
  <si>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</si>
  <si>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</si>
  <si>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</si>
  <si>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</si>
  <si>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</si>
  <si>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</si>
  <si>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</si>
  <si>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</si>
  <si>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</si>
  <si>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</si>
  <si>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</si>
  <si>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</si>
  <si>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</si>
  <si>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</si>
  <si>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</si>
  <si>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</si>
  <si>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</si>
  <si>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</si>
  <si>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</si>
  <si>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</si>
  <si>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</si>
  <si>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</si>
  <si>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</si>
  <si>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</si>
  <si>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</si>
  <si>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</si>
  <si>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</si>
  <si>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</si>
  <si>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</si>
  <si>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</si>
  <si>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</si>
  <si>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</si>
  <si>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</si>
  <si>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</si>
  <si>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</si>
  <si>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</si>
  <si>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</si>
  <si>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</si>
  <si>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</si>
  <si>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</si>
  <si>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</si>
  <si>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</si>
  <si>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</si>
  <si>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</si>
  <si>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</si>
  <si>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</si>
  <si>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</si>
  <si>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</si>
  <si>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</si>
  <si>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</si>
  <si>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</si>
  <si>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</si>
  <si>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</si>
  <si>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</si>
  <si>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</si>
  <si>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</si>
  <si>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</si>
  <si>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</si>
  <si>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</si>
  <si>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</si>
  <si>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</si>
  <si>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</si>
  <si>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</si>
  <si>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</si>
  <si>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</si>
  <si>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</si>
  <si>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</si>
  <si>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</si>
  <si>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</si>
  <si>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</si>
  <si>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</si>
  <si>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</si>
  <si>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</si>
  <si>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</si>
  <si>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</si>
  <si>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</si>
  <si>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</si>
  <si>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</si>
  <si>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</si>
  <si>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</si>
  <si>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</si>
  <si>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</si>
  <si>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</si>
  <si>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</si>
  <si>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</si>
  <si>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</si>
  <si>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</si>
  <si>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</si>
  <si>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</si>
  <si>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</si>
  <si>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</si>
  <si>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</si>
  <si>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</si>
  <si>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</si>
  <si>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</si>
  <si>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</si>
  <si>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</si>
  <si>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</si>
  <si>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</si>
  <si>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</si>
  <si>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</si>
  <si>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</si>
  <si>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</si>
  <si>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</si>
  <si>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</si>
  <si>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</si>
  <si>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</si>
  <si>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</si>
  <si>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</si>
  <si>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</si>
  <si>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</si>
  <si>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</si>
  <si>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</si>
  <si>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</si>
  <si>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</si>
  <si>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</si>
  <si>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</si>
  <si>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</si>
  <si>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</si>
  <si>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</si>
  <si>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</si>
  <si>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</si>
  <si>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</si>
  <si>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</si>
  <si>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</si>
  <si>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</si>
  <si>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</si>
  <si>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</si>
  <si>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</si>
  <si>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</si>
  <si>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</si>
  <si>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</si>
  <si>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</si>
  <si>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</si>
  <si>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</si>
  <si>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</si>
  <si>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</si>
  <si>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</si>
  <si>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</si>
  <si>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</si>
  <si>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</si>
  <si>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</si>
  <si>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</si>
  <si>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</si>
  <si>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</si>
  <si>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</si>
  <si>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</si>
  <si>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</si>
  <si>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</si>
  <si>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</si>
  <si>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</si>
  <si>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</si>
  <si>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</si>
  <si>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</si>
  <si>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</si>
  <si>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</si>
  <si>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</si>
  <si>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</si>
  <si>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</si>
  <si>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</si>
  <si>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</si>
  <si>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</si>
  <si>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</si>
  <si>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</si>
  <si>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</si>
  <si>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</si>
  <si>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</si>
  <si>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</si>
  <si>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</si>
  <si>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</si>
  <si>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</si>
  <si>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</si>
  <si>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</si>
  <si>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</si>
  <si>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</si>
  <si>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</si>
  <si>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</si>
  <si>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</si>
  <si>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</si>
  <si>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</si>
  <si>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</si>
  <si>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</si>
  <si>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</si>
  <si>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</si>
  <si>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</si>
  <si>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</si>
  <si>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</si>
  <si>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</si>
  <si>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</si>
  <si>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</si>
  <si>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</si>
  <si>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</si>
  <si>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</si>
  <si>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</si>
  <si>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</si>
  <si>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</si>
  <si>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</si>
  <si>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</si>
  <si>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</si>
  <si>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</si>
  <si>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</si>
  <si>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</si>
  <si>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</si>
  <si>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</si>
  <si>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</si>
  <si>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</si>
  <si>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</si>
  <si>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</si>
  <si>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</si>
  <si>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</si>
  <si>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</si>
  <si>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</si>
  <si>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</si>
  <si>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</si>
  <si>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</si>
  <si>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</si>
  <si>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</si>
  <si>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</si>
  <si>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</si>
  <si>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</si>
  <si>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</si>
  <si>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</si>
  <si>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</si>
  <si>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</si>
  <si>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</si>
  <si>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</si>
  <si>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</si>
  <si>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</si>
  <si>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</si>
  <si>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</si>
  <si>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</si>
  <si>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</si>
  <si>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</si>
  <si>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</si>
  <si>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</si>
  <si>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</si>
  <si>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</si>
  <si>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</si>
  <si>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</si>
  <si>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</si>
  <si>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</si>
  <si>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</si>
  <si>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</si>
  <si>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</si>
  <si>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</si>
  <si>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</si>
  <si>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</si>
  <si>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</si>
  <si>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</si>
  <si>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</si>
  <si>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</si>
  <si>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</si>
  <si>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</si>
  <si>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</si>
  <si>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</si>
  <si>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</si>
  <si>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</si>
  <si>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</si>
  <si>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</si>
  <si>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</si>
  <si>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</si>
  <si>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</si>
  <si>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</si>
  <si>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</si>
  <si>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</si>
  <si>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</si>
  <si>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</si>
  <si>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</si>
  <si>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</si>
  <si>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</si>
  <si>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</si>
  <si>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</si>
  <si>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</si>
  <si>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</si>
  <si>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</si>
  <si>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</si>
  <si>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</si>
  <si>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</si>
  <si>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</si>
  <si>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</si>
  <si>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</si>
  <si>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</si>
  <si>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</si>
  <si>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</si>
  <si>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</si>
  <si>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</si>
  <si>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</si>
  <si>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</si>
  <si>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</si>
  <si>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</si>
  <si>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</si>
  <si>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</si>
  <si>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</si>
  <si>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</si>
  <si>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</si>
  <si>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</si>
  <si>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</si>
  <si>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</si>
  <si>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</si>
  <si>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</si>
  <si>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</si>
  <si>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</si>
  <si>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</si>
  <si>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</si>
  <si>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</si>
  <si>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</si>
  <si>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</si>
  <si>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</si>
  <si>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</si>
  <si>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</si>
  <si>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</si>
  <si>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</si>
  <si>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</si>
  <si>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</si>
  <si>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</si>
  <si>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</si>
  <si>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</si>
  <si>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</si>
  <si>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</si>
  <si>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</si>
  <si>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</si>
  <si>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</si>
  <si>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</si>
  <si>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</si>
  <si>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</si>
  <si>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</si>
  <si>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</si>
  <si>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</si>
  <si>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</si>
  <si>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</si>
  <si>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</si>
  <si>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</si>
  <si>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</si>
  <si>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</si>
  <si>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</si>
  <si>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</si>
  <si>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</si>
  <si>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</si>
  <si>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</si>
  <si>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</si>
  <si>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</si>
  <si>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</si>
  <si>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</si>
  <si>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</si>
  <si>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</si>
  <si>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</si>
  <si>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</si>
  <si>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</si>
  <si>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</si>
  <si>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</si>
  <si>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</si>
  <si>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</si>
  <si>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</si>
  <si>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</si>
  <si>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</si>
  <si>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</si>
  <si>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</si>
  <si>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</si>
  <si>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</si>
  <si>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</si>
  <si>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</si>
  <si>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</si>
  <si>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</si>
  <si>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</si>
  <si>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</si>
  <si>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</si>
  <si>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</si>
  <si>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</si>
  <si>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</si>
  <si>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</si>
  <si>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</si>
  <si>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</si>
  <si>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</si>
  <si>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</si>
  <si>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</si>
  <si>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</si>
  <si>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</si>
  <si>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</si>
  <si>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</si>
  <si>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</si>
  <si>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</si>
  <si>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</si>
  <si>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</si>
  <si>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</si>
  <si>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</si>
  <si>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</si>
  <si>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</si>
  <si>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</si>
  <si>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</si>
  <si>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</si>
  <si>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</si>
  <si>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</si>
  <si>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</si>
  <si>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</si>
  <si>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</si>
  <si>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</si>
  <si>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</si>
  <si>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</si>
  <si>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</si>
  <si>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</si>
  <si>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</si>
  <si>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</si>
  <si>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</si>
  <si>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</si>
  <si>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</si>
  <si>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</si>
  <si>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</si>
  <si>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</si>
  <si>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</si>
  <si>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</si>
  <si>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</si>
  <si>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</si>
  <si>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</si>
  <si>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</si>
  <si>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</si>
  <si>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</si>
  <si>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</si>
  <si>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</si>
  <si>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</si>
  <si>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</si>
  <si>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</si>
  <si>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</si>
  <si>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</si>
  <si>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</si>
  <si>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</si>
  <si>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</si>
  <si>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</si>
  <si>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</si>
  <si>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</si>
  <si>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</si>
  <si>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</si>
  <si>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</si>
  <si>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</si>
  <si>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</si>
  <si>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</si>
  <si>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</si>
  <si>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</si>
  <si>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</si>
  <si>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</si>
  <si>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</si>
  <si>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</si>
  <si>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</si>
  <si>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</si>
  <si>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</si>
  <si>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</si>
  <si>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</si>
  <si>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</si>
  <si>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</si>
  <si>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</si>
  <si>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</si>
  <si>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</si>
  <si>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</si>
  <si>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</si>
  <si>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</si>
  <si>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</si>
  <si>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</si>
  <si>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</si>
  <si>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</si>
  <si>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</si>
  <si>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</si>
  <si>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</si>
  <si>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</si>
  <si>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</si>
  <si>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</si>
  <si>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</si>
  <si>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</si>
  <si>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</si>
  <si>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</si>
  <si>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</si>
  <si>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</si>
  <si>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</si>
  <si>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</si>
  <si>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</si>
  <si>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</si>
  <si>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</si>
  <si>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</si>
  <si>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</si>
  <si>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</si>
  <si>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</si>
  <si>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</si>
  <si>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</si>
  <si>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</si>
  <si>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</si>
  <si>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</si>
  <si>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</si>
  <si>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</si>
  <si>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</si>
  <si>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</si>
  <si>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</si>
  <si>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</si>
  <si>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</si>
  <si>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</si>
  <si>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</si>
  <si>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</si>
  <si>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</si>
  <si>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</si>
  <si>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</si>
  <si>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</si>
  <si>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</si>
  <si>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</si>
  <si>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</si>
  <si>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</si>
  <si>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</si>
  <si>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</si>
  <si>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</si>
  <si>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</si>
  <si>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</si>
  <si>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</si>
  <si>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</si>
  <si>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</si>
  <si>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</si>
  <si>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</si>
  <si>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</si>
  <si>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</si>
  <si>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</si>
  <si>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</si>
  <si>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</si>
  <si>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</si>
  <si>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</si>
  <si>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</si>
  <si>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</si>
  <si>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</si>
  <si>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</si>
  <si>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</si>
  <si>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</si>
  <si>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</si>
  <si>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</si>
  <si>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</si>
  <si>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</si>
  <si>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</si>
  <si>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</si>
  <si>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</si>
  <si>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</si>
  <si>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</si>
  <si>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</si>
  <si>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</si>
  <si>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</si>
  <si>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</si>
  <si>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</si>
  <si>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</si>
  <si>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</si>
  <si>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</si>
  <si>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</si>
  <si>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</si>
  <si>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</si>
  <si>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</si>
  <si>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</si>
  <si>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</si>
  <si>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</si>
  <si>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</si>
  <si>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</si>
  <si>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</si>
  <si>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</si>
  <si>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</si>
  <si>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</si>
  <si>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</si>
  <si>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</si>
  <si>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</si>
  <si>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</si>
  <si>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</si>
  <si>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</si>
  <si>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</si>
  <si>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</si>
  <si>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</si>
  <si>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</si>
  <si>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</si>
  <si>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</si>
  <si>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</si>
  <si>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</si>
  <si>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</si>
  <si>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</si>
  <si>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</si>
  <si>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</si>
  <si>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</si>
  <si>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</si>
  <si>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</si>
  <si>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</si>
  <si>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</si>
  <si>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</si>
  <si>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</si>
  <si>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</si>
  <si>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</si>
  <si>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</si>
  <si>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</si>
  <si>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</si>
  <si>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</si>
  <si>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</si>
  <si>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</si>
  <si>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</si>
  <si>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</si>
  <si>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</si>
  <si>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</si>
  <si>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</si>
  <si>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</si>
  <si>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</si>
  <si>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</si>
  <si>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</si>
  <si>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</si>
  <si>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</si>
  <si>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</si>
  <si>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</si>
  <si>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</si>
  <si>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</si>
  <si>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</si>
  <si>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</si>
  <si>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</si>
  <si>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</si>
  <si>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</si>
  <si>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</si>
  <si>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</si>
  <si>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</si>
  <si>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</si>
  <si>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</si>
  <si>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</si>
  <si>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</si>
  <si>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</si>
  <si>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</si>
  <si>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</si>
  <si>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</si>
  <si>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</si>
  <si>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</si>
  <si>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</si>
  <si>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</si>
  <si>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</si>
  <si>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</si>
  <si>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</si>
  <si>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</si>
  <si>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</si>
  <si>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</si>
  <si>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</si>
  <si>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</si>
  <si>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</si>
  <si>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</si>
  <si>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</si>
  <si>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</si>
  <si>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</si>
  <si>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</si>
  <si>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</si>
  <si>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</si>
  <si>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</si>
  <si>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</si>
  <si>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</si>
  <si>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</si>
  <si>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</si>
  <si>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</si>
  <si>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</si>
  <si>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</si>
  <si>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</si>
  <si>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</si>
  <si>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</si>
  <si>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</si>
  <si>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</si>
  <si>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</si>
  <si>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</si>
  <si>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</si>
  <si>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</si>
  <si>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</si>
  <si>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</si>
  <si>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</si>
  <si>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</si>
  <si>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</si>
  <si>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</si>
  <si>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</si>
  <si>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</si>
  <si>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</si>
  <si>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</si>
  <si>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</si>
  <si>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</si>
  <si>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</si>
  <si>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</si>
  <si>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</si>
  <si>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</si>
  <si>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</si>
  <si>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</si>
  <si>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</si>
  <si>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</si>
  <si>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</si>
  <si>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</si>
  <si>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</si>
  <si>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</si>
  <si>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</si>
  <si>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</si>
  <si>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</si>
  <si>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</si>
  <si>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</si>
  <si>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</si>
  <si>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</si>
  <si>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</si>
  <si>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</si>
  <si>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</si>
  <si>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</si>
  <si>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</si>
  <si>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</si>
  <si>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</si>
  <si>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</si>
  <si>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</si>
  <si>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</si>
  <si>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</si>
  <si>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</si>
  <si>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</si>
  <si>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</si>
  <si>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</si>
  <si>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</si>
  <si>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</si>
  <si>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</si>
  <si>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</si>
  <si>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</si>
  <si>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</si>
  <si>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</si>
  <si>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</si>
  <si>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</si>
  <si>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</si>
  <si>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</si>
  <si>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</si>
  <si>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</si>
  <si>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</si>
  <si>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</si>
  <si>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</si>
  <si>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</si>
  <si>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</si>
  <si>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</si>
  <si>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</si>
  <si>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</si>
  <si>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</si>
  <si>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</si>
  <si>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</si>
  <si>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</si>
  <si>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</si>
  <si>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</si>
  <si>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</si>
  <si>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</si>
  <si>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</si>
  <si>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</si>
  <si>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</si>
  <si>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</si>
  <si>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</si>
  <si>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</si>
  <si>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</si>
  <si>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</si>
  <si>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</si>
  <si>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</si>
  <si>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</si>
  <si>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</si>
  <si>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</si>
  <si>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</si>
  <si>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</si>
  <si>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</si>
  <si>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</si>
  <si>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</si>
  <si>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</si>
  <si>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</si>
  <si>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</si>
  <si>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</si>
  <si>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</si>
  <si>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</si>
  <si>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</si>
  <si>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</si>
  <si>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</si>
  <si>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</si>
  <si>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</si>
  <si>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</si>
  <si>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</si>
  <si>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</si>
  <si>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</si>
  <si>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</si>
  <si>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</si>
  <si>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</si>
  <si>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</si>
  <si>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</si>
  <si>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</si>
  <si>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</si>
  <si>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</si>
  <si>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</si>
  <si>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</si>
  <si>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</si>
  <si>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</si>
  <si>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</si>
  <si>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</si>
  <si>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</si>
  <si>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</si>
  <si>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</si>
  <si>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</si>
  <si>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</si>
  <si>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</si>
  <si>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</si>
  <si>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</si>
  <si>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</si>
  <si>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</si>
  <si>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</si>
  <si>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</si>
  <si>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</si>
  <si>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</si>
  <si>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</si>
  <si>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</si>
  <si>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</si>
  <si>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</si>
  <si>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</si>
  <si>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</si>
  <si>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</si>
  <si>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</si>
  <si>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</si>
  <si>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</si>
  <si>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</si>
  <si>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</si>
  <si>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</si>
  <si>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</si>
  <si>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</si>
  <si>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</si>
  <si>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</si>
  <si>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</si>
  <si>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</si>
  <si>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</si>
  <si>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</si>
  <si>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</si>
  <si>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</si>
  <si>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</si>
  <si>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</si>
  <si>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</si>
  <si>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</si>
  <si>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</si>
  <si>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</si>
  <si>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</si>
  <si>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</si>
  <si>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</si>
  <si>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</si>
  <si>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</si>
  <si>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</si>
  <si>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</si>
  <si>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</si>
  <si>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</si>
  <si>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</si>
  <si>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</si>
  <si>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</si>
  <si>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</si>
  <si>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</si>
  <si>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</si>
  <si>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</si>
  <si>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</si>
  <si>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</si>
  <si>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</si>
  <si>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</si>
  <si>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</si>
  <si>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</si>
  <si>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</si>
  <si>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</si>
  <si>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</si>
  <si>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</si>
  <si>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</si>
  <si>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</si>
  <si>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</si>
  <si>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</si>
  <si>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</si>
  <si>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</si>
  <si>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</si>
  <si>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</si>
  <si>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</si>
  <si>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</si>
  <si>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</si>
  <si>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</si>
  <si>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</si>
  <si>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</si>
  <si>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</si>
  <si>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</si>
  <si>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</si>
  <si>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</si>
  <si>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</si>
  <si>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</si>
  <si>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</si>
  <si>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</si>
  <si>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</si>
  <si>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</si>
  <si>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</si>
  <si>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</si>
  <si>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</si>
  <si>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</si>
  <si>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</si>
  <si>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</si>
  <si>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</si>
  <si>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</si>
  <si>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</si>
  <si>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</si>
  <si>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</si>
  <si>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</si>
  <si>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</si>
  <si>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</si>
  <si>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</si>
  <si>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</si>
  <si>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</si>
  <si>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</si>
  <si>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</si>
  <si>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</si>
  <si>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</si>
  <si>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</si>
  <si>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</si>
  <si>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</si>
  <si>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</si>
  <si>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</si>
  <si>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</si>
  <si>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</si>
  <si>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</si>
  <si>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</si>
  <si>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</si>
  <si>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</si>
  <si>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</si>
  <si>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</si>
  <si>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</si>
  <si>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</si>
  <si>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</si>
  <si>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</si>
  <si>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</si>
  <si>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</si>
  <si>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</si>
  <si>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</si>
  <si>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</si>
  <si>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</si>
  <si>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</si>
  <si>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</si>
  <si>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</si>
  <si>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</si>
  <si>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</si>
  <si>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</si>
  <si>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</si>
  <si>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</si>
  <si>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</si>
  <si>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</si>
  <si>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</si>
  <si>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</si>
  <si>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</si>
  <si>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</si>
  <si>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</si>
  <si>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</si>
  <si>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</si>
  <si>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</si>
  <si>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</si>
  <si>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</si>
  <si>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</si>
  <si>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</si>
  <si>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</si>
  <si>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</si>
  <si>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</si>
  <si>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</si>
  <si>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</si>
  <si>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</si>
  <si>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</si>
  <si>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</si>
  <si>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</si>
  <si>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</si>
  <si>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</si>
  <si>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</si>
  <si>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</si>
  <si>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</si>
  <si>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</si>
  <si>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</si>
  <si>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</si>
  <si>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</si>
  <si>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</si>
  <si>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</si>
  <si>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</si>
  <si>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</si>
  <si>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</si>
  <si>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</si>
  <si>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</si>
  <si>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</si>
  <si>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</si>
  <si>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</si>
  <si>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</si>
  <si>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</si>
  <si>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</si>
  <si>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</si>
  <si>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</si>
  <si>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</si>
  <si>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</si>
  <si>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</si>
  <si>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</si>
  <si>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</si>
  <si>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</si>
  <si>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</si>
  <si>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</si>
  <si>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</si>
  <si>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</si>
  <si>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</si>
  <si>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</si>
  <si>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</si>
  <si>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</si>
  <si>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</si>
  <si>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</si>
  <si>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</si>
  <si>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</si>
  <si>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</si>
  <si>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</si>
  <si>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</si>
  <si>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</si>
  <si>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</si>
  <si>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</si>
  <si>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</si>
  <si>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</si>
  <si>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</si>
  <si>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</si>
  <si>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</si>
  <si>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</si>
  <si>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</si>
  <si>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</si>
  <si>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</si>
  <si>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</si>
  <si>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</si>
  <si>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</si>
  <si>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</si>
  <si>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</si>
  <si>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</si>
  <si>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</si>
  <si>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</si>
  <si>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</si>
  <si>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</si>
  <si>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</si>
  <si>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</si>
  <si>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</si>
  <si>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</si>
  <si>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</si>
  <si>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</si>
  <si>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</si>
  <si>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</si>
  <si>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</si>
  <si>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</si>
  <si>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</si>
  <si>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</si>
  <si>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</si>
  <si>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</si>
  <si>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</si>
  <si>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</si>
  <si>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</si>
  <si>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</si>
  <si>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</si>
  <si>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</si>
  <si>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</si>
  <si>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</si>
  <si>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</si>
  <si>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</si>
  <si>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</si>
  <si>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</si>
  <si>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</si>
  <si>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</si>
  <si>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</si>
  <si>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</si>
  <si>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</si>
  <si>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</si>
  <si>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</si>
  <si>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</si>
  <si>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</si>
  <si>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</si>
  <si>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</si>
  <si>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</si>
  <si>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</si>
  <si>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</si>
  <si>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</si>
  <si>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</si>
  <si>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</si>
  <si>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</si>
  <si>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</si>
  <si>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</si>
  <si>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</si>
  <si>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</si>
  <si>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</si>
  <si>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</si>
  <si>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</si>
  <si>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</si>
  <si>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</si>
  <si>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</si>
  <si>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</si>
  <si>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</si>
  <si>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</si>
  <si>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</si>
  <si>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</si>
  <si>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</si>
  <si>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</si>
  <si>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</si>
  <si>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</si>
  <si>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</si>
  <si>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</si>
  <si>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</si>
  <si>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</si>
  <si>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</si>
  <si>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</si>
  <si>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</si>
  <si>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</si>
  <si>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</si>
  <si>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</si>
  <si>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</si>
  <si>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</si>
  <si>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</si>
  <si>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</si>
  <si>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</si>
  <si>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</si>
  <si>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</si>
  <si>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</si>
  <si>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</si>
  <si>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</si>
  <si>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</si>
  <si>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</si>
  <si>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</si>
  <si>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</si>
  <si>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</si>
  <si>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</si>
  <si>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</si>
  <si>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</si>
  <si>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</si>
  <si>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</si>
  <si>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</si>
  <si>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</si>
  <si>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</si>
  <si>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</si>
  <si>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</si>
  <si>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</si>
  <si>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</si>
  <si>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</si>
  <si>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</si>
  <si>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</si>
  <si>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</si>
  <si>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</si>
  <si>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</si>
  <si>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</si>
  <si>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</si>
  <si>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</si>
  <si>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</si>
  <si>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</si>
  <si>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</si>
  <si>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</si>
  <si>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</si>
  <si>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</si>
  <si>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</si>
  <si>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</si>
  <si>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</si>
  <si>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</si>
  <si>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</si>
  <si>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</si>
  <si>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</si>
  <si>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</si>
  <si>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</si>
  <si>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</si>
  <si>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</si>
  <si>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</si>
  <si>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</si>
  <si>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</si>
  <si>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</si>
  <si>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</si>
  <si>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</si>
  <si>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</si>
  <si>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</si>
  <si>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</si>
  <si>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</si>
  <si>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</si>
  <si>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</si>
  <si>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</si>
  <si>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</si>
  <si>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</si>
  <si>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</si>
  <si>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</si>
  <si>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</si>
  <si>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</si>
  <si>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</si>
  <si>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</si>
  <si>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</si>
  <si>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</si>
  <si>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</si>
  <si>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</si>
  <si>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</si>
  <si>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</si>
  <si>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</si>
  <si>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</si>
  <si>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</si>
  <si>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</si>
  <si>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</si>
  <si>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</si>
  <si>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</si>
  <si>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</si>
  <si>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</si>
  <si>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</si>
  <si>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</si>
  <si>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</si>
  <si>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</si>
  <si>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</si>
  <si>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</si>
  <si>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</si>
  <si>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</si>
  <si>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</si>
  <si>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</si>
  <si>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</si>
  <si>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</si>
  <si>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</si>
  <si>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</si>
  <si>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</si>
  <si>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</si>
  <si>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</si>
  <si>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</si>
  <si>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</si>
  <si>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</si>
  <si>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</si>
  <si>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</si>
  <si>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</si>
  <si>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</si>
  <si>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</si>
  <si>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</si>
  <si>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</si>
  <si>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</si>
  <si>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</si>
  <si>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</si>
  <si>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</si>
  <si>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</si>
  <si>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</si>
  <si>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</si>
  <si>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</si>
  <si>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</si>
  <si>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</si>
  <si>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</si>
  <si>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</si>
  <si>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</si>
  <si>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</si>
  <si>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</si>
  <si>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</si>
  <si>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</si>
  <si>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</si>
  <si>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</si>
  <si>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</si>
  <si>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</si>
  <si>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</si>
  <si>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</si>
  <si>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</si>
  <si>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</si>
  <si>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</si>
  <si>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</si>
  <si>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</si>
  <si>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</si>
  <si>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</si>
  <si>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</si>
  <si>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</si>
  <si>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</si>
  <si>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</si>
  <si>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</si>
  <si>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</si>
  <si>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</si>
  <si>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</si>
  <si>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</si>
  <si>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</si>
  <si>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</si>
  <si>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</si>
  <si>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</si>
  <si>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</si>
  <si>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</si>
  <si>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</si>
  <si>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</si>
  <si>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</si>
  <si>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</si>
  <si>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</si>
  <si>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</si>
  <si>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</si>
  <si>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</si>
  <si>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</si>
  <si>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</si>
  <si>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</si>
  <si>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</si>
  <si>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</si>
  <si>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</si>
  <si>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</si>
  <si>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</si>
  <si>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</si>
  <si>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</si>
  <si>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</si>
  <si>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</si>
  <si>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</si>
  <si>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</si>
  <si>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</si>
  <si>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</si>
  <si>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</si>
  <si>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</si>
  <si>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</si>
  <si>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</si>
  <si>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</si>
  <si>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</si>
  <si>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</si>
  <si>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</si>
  <si>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</si>
  <si>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</si>
  <si>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</si>
  <si>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</si>
  <si>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</si>
  <si>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</si>
  <si>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</si>
  <si>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</si>
  <si>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</si>
  <si>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</si>
  <si>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</si>
  <si>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</si>
  <si>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</si>
  <si>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</si>
  <si>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</si>
  <si>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</si>
  <si>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</si>
  <si>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</si>
  <si>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</si>
  <si>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</si>
  <si>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</si>
  <si>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</si>
  <si>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</si>
  <si>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</si>
  <si>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</si>
  <si>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</si>
  <si>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</si>
  <si>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</si>
  <si>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</si>
  <si>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</si>
  <si>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</si>
  <si>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</si>
  <si>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</si>
  <si>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</si>
  <si>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</si>
  <si>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</si>
  <si>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</si>
  <si>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</si>
  <si>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</si>
  <si>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</si>
  <si>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</si>
  <si>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</si>
  <si>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</si>
  <si>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</si>
  <si>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</si>
  <si>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</si>
  <si>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</si>
  <si>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</si>
  <si>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</si>
  <si>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</si>
  <si>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</si>
  <si>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</si>
  <si>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</si>
  <si>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</si>
  <si>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</si>
  <si>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</si>
  <si>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</si>
  <si>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</si>
  <si>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</si>
  <si>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</si>
  <si>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</si>
  <si>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</si>
  <si>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</si>
  <si>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</si>
  <si>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</si>
  <si>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</si>
  <si>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</si>
  <si>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</si>
  <si>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</si>
  <si>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</si>
  <si>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</si>
  <si>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</si>
  <si>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</si>
  <si>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</si>
  <si>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</si>
  <si>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</si>
  <si>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</si>
  <si>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</si>
  <si>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</si>
  <si>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</si>
  <si>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</si>
  <si>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</si>
  <si>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</si>
  <si>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</si>
  <si>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</si>
  <si>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</si>
  <si>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</si>
  <si>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</si>
  <si>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</si>
  <si>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</si>
  <si>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</si>
  <si>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</si>
  <si>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</si>
  <si>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</si>
  <si>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</si>
  <si>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</si>
  <si>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</si>
  <si>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</si>
  <si>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</si>
  <si>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</si>
  <si>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</si>
  <si>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</si>
  <si>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</si>
  <si>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</si>
  <si>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</si>
  <si>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</si>
  <si>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</si>
  <si>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</si>
  <si>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</si>
  <si>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</si>
  <si>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</si>
  <si>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</si>
  <si>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</si>
  <si>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</si>
  <si>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</si>
  <si>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</si>
  <si>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</si>
  <si>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</si>
  <si>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</si>
  <si>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</si>
  <si>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</si>
  <si>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</si>
  <si>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</si>
  <si>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</si>
  <si>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</si>
  <si>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</si>
  <si>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</si>
  <si>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</si>
  <si>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</si>
  <si>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</si>
  <si>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</si>
  <si>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</si>
  <si>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</si>
  <si>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</si>
  <si>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</si>
  <si>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</si>
  <si>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</si>
  <si>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</si>
  <si>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</si>
  <si>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</si>
  <si>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</si>
  <si>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</si>
  <si>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</si>
  <si>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</si>
  <si>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</si>
  <si>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</si>
  <si>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</si>
  <si>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</si>
  <si>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</si>
  <si>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</si>
  <si>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</si>
  <si>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</si>
  <si>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</si>
  <si>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</si>
  <si>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</si>
  <si>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</si>
  <si>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</si>
  <si>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</si>
  <si>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</si>
  <si>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</si>
  <si>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</si>
  <si>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</si>
  <si>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</si>
  <si>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</si>
  <si>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</si>
  <si>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</si>
  <si>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</si>
  <si>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</si>
  <si>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</si>
  <si>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</si>
  <si>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</si>
  <si>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</si>
  <si>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</si>
  <si>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</si>
  <si>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</si>
  <si>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</si>
  <si>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</si>
  <si>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</si>
  <si>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</si>
  <si>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</si>
  <si>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</si>
  <si>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</si>
  <si>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</si>
  <si>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</si>
  <si>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</si>
  <si>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</si>
  <si>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</si>
  <si>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</si>
  <si>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</si>
  <si>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</si>
  <si>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</si>
  <si>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</si>
  <si>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</si>
  <si>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</si>
  <si>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</si>
  <si>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</si>
  <si>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</si>
  <si>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</si>
  <si>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</si>
  <si>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</si>
  <si>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</si>
  <si>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</si>
  <si>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</si>
  <si>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</si>
  <si>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</si>
  <si>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</si>
  <si>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</si>
  <si>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</si>
  <si>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</si>
  <si>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</si>
  <si>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</si>
  <si>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</si>
  <si>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</si>
  <si>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</si>
  <si>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</si>
  <si>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</si>
  <si>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</si>
  <si>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</si>
  <si>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</si>
  <si>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</si>
  <si>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</si>
  <si>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</si>
  <si>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</si>
  <si>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</si>
  <si>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</si>
  <si>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</si>
  <si>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</si>
  <si>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</si>
  <si>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</si>
  <si>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</si>
  <si>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</si>
  <si>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</si>
  <si>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</si>
  <si>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</si>
  <si>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</si>
  <si>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</si>
  <si>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</si>
  <si>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</si>
  <si>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</si>
  <si>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</si>
  <si>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</si>
  <si>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</si>
  <si>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</si>
  <si>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</si>
  <si>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</si>
  <si>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</si>
  <si>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</si>
  <si>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</si>
  <si>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</si>
  <si>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</si>
  <si>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</si>
  <si>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</si>
  <si>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</si>
  <si>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</si>
  <si>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</si>
  <si>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</si>
  <si>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</si>
  <si>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</si>
  <si>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</si>
  <si>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</si>
  <si>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</si>
  <si>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</si>
  <si>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</si>
  <si>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</si>
  <si>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</si>
  <si>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</si>
  <si>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</si>
  <si>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</si>
  <si>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</si>
  <si>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</si>
  <si>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</si>
  <si>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</si>
  <si>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</si>
  <si>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</si>
  <si>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</si>
  <si>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</si>
  <si>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</si>
  <si>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</si>
  <si>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</si>
  <si>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</si>
  <si>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</si>
  <si>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</si>
  <si>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</si>
  <si>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</si>
  <si>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</si>
  <si>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</si>
  <si>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</si>
  <si>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</si>
  <si>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</si>
  <si>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</si>
  <si>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</si>
  <si>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</si>
  <si>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</si>
  <si>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</si>
  <si>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</si>
  <si>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</si>
  <si>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</si>
  <si>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</si>
  <si>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</si>
  <si>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</si>
  <si>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</si>
  <si>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</si>
  <si>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</si>
  <si>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</si>
  <si>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</si>
  <si>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</si>
  <si>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</si>
  <si>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</si>
  <si>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</si>
  <si>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</si>
  <si>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</si>
  <si>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</si>
  <si>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</si>
  <si>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</si>
  <si>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</si>
  <si>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</si>
  <si>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</si>
  <si>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</si>
  <si>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</si>
  <si>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</si>
  <si>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</si>
  <si>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</si>
  <si>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</si>
  <si>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</si>
  <si>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</si>
  <si>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</si>
  <si>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</si>
  <si>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</si>
  <si>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</si>
  <si>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</si>
  <si>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</si>
  <si>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</si>
  <si>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</si>
  <si>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</si>
  <si>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</si>
  <si>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</si>
  <si>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</si>
  <si>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</si>
  <si>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</si>
  <si>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</si>
  <si>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</si>
  <si>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</si>
  <si>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</si>
  <si>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</si>
  <si>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</si>
  <si>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</si>
  <si>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</si>
  <si>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</si>
  <si>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</si>
  <si>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</si>
  <si>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</si>
  <si>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</si>
  <si>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</si>
  <si>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</si>
  <si>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</si>
  <si>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</si>
  <si>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</si>
  <si>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</si>
  <si>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</si>
  <si>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</si>
  <si>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</si>
  <si>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</si>
  <si>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</si>
  <si>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</si>
  <si>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</si>
  <si>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</si>
  <si>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</si>
  <si>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</si>
  <si>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</si>
  <si>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</si>
  <si>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</si>
  <si>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</si>
  <si>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</si>
  <si>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</si>
  <si>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</si>
  <si>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</si>
  <si>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</si>
  <si>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</si>
  <si>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</si>
  <si>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</si>
  <si>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</si>
  <si>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</si>
  <si>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</si>
  <si>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</si>
  <si>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</si>
  <si>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</si>
  <si>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</si>
  <si>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</si>
  <si>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</si>
  <si>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</si>
  <si>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</si>
  <si>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</si>
  <si>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</si>
  <si>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</si>
  <si>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</si>
  <si>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</si>
  <si>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</si>
  <si>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</si>
  <si>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</si>
  <si>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</si>
  <si>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</si>
  <si>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</si>
  <si>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</si>
  <si>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</si>
  <si>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</si>
  <si>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</si>
  <si>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</si>
  <si>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</si>
  <si>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</si>
  <si>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</si>
  <si>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</si>
  <si>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</si>
  <si>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</si>
  <si>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</si>
  <si>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</si>
  <si>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</si>
  <si>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</si>
  <si>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</si>
  <si>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</si>
  <si>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</si>
  <si>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</si>
  <si>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</si>
  <si>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</si>
  <si>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</si>
  <si>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</si>
  <si>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</si>
  <si>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</si>
  <si>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</si>
  <si>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</si>
  <si>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</si>
  <si>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</si>
  <si>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</si>
  <si>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</si>
  <si>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</si>
  <si>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</si>
  <si>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</si>
  <si>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</si>
  <si>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</si>
  <si>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</si>
  <si>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</si>
  <si>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</si>
  <si>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</si>
  <si>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</si>
  <si>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</si>
  <si>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</si>
  <si>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</si>
  <si>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</si>
  <si>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</si>
  <si>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</si>
  <si>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</si>
  <si>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</si>
  <si>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</si>
  <si>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</si>
  <si>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</si>
  <si>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</si>
  <si>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</si>
  <si>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</si>
  <si>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</si>
  <si>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</si>
  <si>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</si>
  <si>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</si>
  <si>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</si>
  <si>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</si>
  <si>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</si>
  <si>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</si>
  <si>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</si>
  <si>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</si>
  <si>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</si>
  <si>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</si>
  <si>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</si>
  <si>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</si>
  <si>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</si>
  <si>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</si>
  <si>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</si>
  <si>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</si>
  <si>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</si>
  <si>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</si>
  <si>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</si>
  <si>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</si>
  <si>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</si>
  <si>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</si>
  <si>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</si>
  <si>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</si>
  <si>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</si>
  <si>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</si>
  <si>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</si>
  <si>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</si>
  <si>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</si>
  <si>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</si>
  <si>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</si>
  <si>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</si>
  <si>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</si>
  <si>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</si>
  <si>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</si>
  <si>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</si>
  <si>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</si>
  <si>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</si>
  <si>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</si>
  <si>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</si>
  <si>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</si>
  <si>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</si>
  <si>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</si>
  <si>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</si>
  <si>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</si>
  <si>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</si>
  <si>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</si>
  <si>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</si>
  <si>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</si>
  <si>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</si>
  <si>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</si>
  <si>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</si>
  <si>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</si>
  <si>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</si>
  <si>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</si>
  <si>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</si>
  <si>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</si>
  <si>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</si>
  <si>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</si>
  <si>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</si>
  <si>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</si>
  <si>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</si>
  <si>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</si>
  <si>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</si>
  <si>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</si>
  <si>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</si>
  <si>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</si>
  <si>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</si>
  <si>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</si>
  <si>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</si>
  <si>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</si>
  <si>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</si>
  <si>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</si>
  <si>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</si>
  <si>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</si>
  <si>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</si>
  <si>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</si>
  <si>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</si>
  <si>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</si>
  <si>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</si>
  <si>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</si>
  <si>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</si>
  <si>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</si>
  <si>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</si>
  <si>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</si>
  <si>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</si>
  <si>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</si>
  <si>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</si>
  <si>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</si>
  <si>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</si>
  <si>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</si>
  <si>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</si>
  <si>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</si>
  <si>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</si>
  <si>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</si>
  <si>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</si>
  <si>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</si>
  <si>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</si>
  <si>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</si>
  <si>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</si>
  <si>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</si>
  <si>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</si>
  <si>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</si>
  <si>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</si>
  <si>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</si>
  <si>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</si>
  <si>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</si>
  <si>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</si>
  <si>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</si>
  <si>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</si>
  <si>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</si>
  <si>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</si>
  <si>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</si>
  <si>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</si>
  <si>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</si>
  <si>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</si>
  <si>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</si>
  <si>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</si>
  <si>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</si>
  <si>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</si>
  <si>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</si>
  <si>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</si>
  <si>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</si>
  <si>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</si>
  <si>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</si>
  <si>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</si>
  <si>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</si>
  <si>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</si>
  <si>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</si>
  <si>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</si>
  <si>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</si>
  <si>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</si>
  <si>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</si>
  <si>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</si>
  <si>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</si>
  <si>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</si>
  <si>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</si>
  <si>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</si>
  <si>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</si>
  <si>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</si>
  <si>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</si>
  <si>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</si>
  <si>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</si>
  <si>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</si>
  <si>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</si>
  <si>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</si>
  <si>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</si>
  <si>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</si>
  <si>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</si>
  <si>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</si>
  <si>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</si>
  <si>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</si>
  <si>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</si>
  <si>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</si>
  <si>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</si>
  <si>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</si>
  <si>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</si>
  <si>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</si>
  <si>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</si>
  <si>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</si>
  <si>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</si>
  <si>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</si>
  <si>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</si>
  <si>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</si>
  <si>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</si>
  <si>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</si>
  <si>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</si>
  <si>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</si>
  <si>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</si>
  <si>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</si>
  <si>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</si>
  <si>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</si>
  <si>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</si>
  <si>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</si>
  <si>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</si>
  <si>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</si>
  <si>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</si>
  <si>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</si>
  <si>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</si>
  <si>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</si>
  <si>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</si>
  <si>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</si>
  <si>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</si>
  <si>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</si>
  <si>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</si>
  <si>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</si>
  <si>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</si>
  <si>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</si>
  <si>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</si>
  <si>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</si>
  <si>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</si>
  <si>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</si>
  <si>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</si>
  <si>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</si>
  <si>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</si>
  <si>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</si>
  <si>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</si>
  <si>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</si>
  <si>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</si>
  <si>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</si>
  <si>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</si>
  <si>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</si>
  <si>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</si>
  <si>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</si>
  <si>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</si>
  <si>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</si>
  <si>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</si>
  <si>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</si>
  <si>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</si>
  <si>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</si>
  <si>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</si>
  <si>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</si>
  <si>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</si>
  <si>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</si>
  <si>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</si>
  <si>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</si>
  <si>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</si>
  <si>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</si>
  <si>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</si>
  <si>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</si>
  <si>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</si>
  <si>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</si>
  <si>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</si>
  <si>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</si>
  <si>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</si>
  <si>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</si>
  <si>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</si>
  <si>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</si>
  <si>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</si>
  <si>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</si>
  <si>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</si>
  <si>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</si>
  <si>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</si>
  <si>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</si>
  <si>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</si>
  <si>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</si>
  <si>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</si>
  <si>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</si>
  <si>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</si>
  <si>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</si>
  <si>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</si>
  <si>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</si>
  <si>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</si>
  <si>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</si>
  <si>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</si>
  <si>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</si>
  <si>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</si>
  <si>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</si>
  <si>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</si>
  <si>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</si>
  <si>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</si>
  <si>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</si>
  <si>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</si>
  <si>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</si>
  <si>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</si>
  <si>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</si>
  <si>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</si>
  <si>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</si>
  <si>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</si>
  <si>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</si>
  <si>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</si>
  <si>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</si>
  <si>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</si>
  <si>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</si>
  <si>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</si>
  <si>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</si>
  <si>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</si>
  <si>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</si>
  <si>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</si>
  <si>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</si>
  <si>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</si>
  <si>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</si>
  <si>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</si>
  <si>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</si>
  <si>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</si>
  <si>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</si>
  <si>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</si>
  <si>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</si>
  <si>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</si>
  <si>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</si>
  <si>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</si>
  <si>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</si>
  <si>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</si>
  <si>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</si>
  <si>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</si>
  <si>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</si>
  <si>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</si>
  <si>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</si>
  <si>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</si>
  <si>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</si>
  <si>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</si>
  <si>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</si>
  <si>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</si>
  <si>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</si>
  <si>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</si>
  <si>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</si>
  <si>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</si>
  <si>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</si>
  <si>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</si>
  <si>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</si>
  <si>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</si>
  <si>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</si>
  <si>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</si>
  <si>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</si>
  <si>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</si>
  <si>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</si>
  <si>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</si>
  <si>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</si>
  <si>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</si>
  <si>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</si>
  <si>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</si>
  <si>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</si>
  <si>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</si>
  <si>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</si>
  <si>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</si>
  <si>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</si>
  <si>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</si>
  <si>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</si>
  <si>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</si>
  <si>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</si>
  <si>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</si>
  <si>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</si>
  <si>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</si>
  <si>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</si>
  <si>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</si>
  <si>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</si>
  <si>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</si>
  <si>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</si>
  <si>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</si>
  <si>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</si>
  <si>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</si>
  <si>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</si>
  <si>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</si>
  <si>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</si>
  <si>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</si>
  <si>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</si>
  <si>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</si>
  <si>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</si>
  <si>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</si>
  <si>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</si>
  <si>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</si>
  <si>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</si>
  <si>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</si>
  <si>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</si>
  <si>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</si>
  <si>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</si>
  <si>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</si>
  <si>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</si>
  <si>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</si>
  <si>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</si>
  <si>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</si>
  <si>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</si>
  <si>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</si>
  <si>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</si>
  <si>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</si>
  <si>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</si>
  <si>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</si>
  <si>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</si>
  <si>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</si>
  <si>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</si>
  <si>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</si>
  <si>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</si>
  <si>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</si>
  <si>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</si>
  <si>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</si>
  <si>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</si>
  <si>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</si>
  <si>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</si>
  <si>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</si>
  <si>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</si>
  <si>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</si>
  <si>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</si>
  <si>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</si>
  <si>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</si>
  <si>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</si>
  <si>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</si>
  <si>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</si>
  <si>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</si>
  <si>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</si>
  <si>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</si>
  <si>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</si>
  <si>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</si>
  <si>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</si>
  <si>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</si>
  <si>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</si>
  <si>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</si>
  <si>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</si>
  <si>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</si>
  <si>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</si>
  <si>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</si>
  <si>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</si>
  <si>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</si>
  <si>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</si>
  <si>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</si>
  <si>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</si>
  <si>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</si>
  <si>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</si>
  <si>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</si>
  <si>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</si>
  <si>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</si>
  <si>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</si>
  <si>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</si>
  <si>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</si>
  <si>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</si>
  <si>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</si>
  <si>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</si>
  <si>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</si>
  <si>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</si>
  <si>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</si>
  <si>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</si>
  <si>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</si>
  <si>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</si>
  <si>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</si>
  <si>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</si>
  <si>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</si>
  <si>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</si>
  <si>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</si>
  <si>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</si>
  <si>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</si>
  <si>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</si>
  <si>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</si>
  <si>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</si>
  <si>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</si>
  <si>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</si>
  <si>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</si>
  <si>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</si>
  <si>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</si>
  <si>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</si>
  <si>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</si>
  <si>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</si>
  <si>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</si>
  <si>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</si>
  <si>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</si>
  <si>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</si>
  <si>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</si>
  <si>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</si>
  <si>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</si>
  <si>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</si>
  <si>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</si>
  <si>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</si>
  <si>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</si>
  <si>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</si>
  <si>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</si>
  <si>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</si>
  <si>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</si>
  <si>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</si>
  <si>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</si>
  <si>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</si>
  <si>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</si>
  <si>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</si>
  <si>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</si>
  <si>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</si>
  <si>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</si>
  <si>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</si>
  <si>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</si>
  <si>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</si>
  <si>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</si>
  <si>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</si>
  <si>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</si>
  <si>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</si>
  <si>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</si>
  <si>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</si>
  <si>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</si>
  <si>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</si>
  <si>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</si>
  <si>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</si>
  <si>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</si>
  <si>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</si>
  <si>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</si>
  <si>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</si>
  <si>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</si>
  <si>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</si>
  <si>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</si>
  <si>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</si>
  <si>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</si>
  <si>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</si>
  <si>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</si>
  <si>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</si>
  <si>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</si>
  <si>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</si>
  <si>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</si>
  <si>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</si>
  <si>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</si>
  <si>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</si>
  <si>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</si>
  <si>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</si>
  <si>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</si>
  <si>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</si>
  <si>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</si>
  <si>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</si>
  <si>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</si>
  <si>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</si>
  <si>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</si>
  <si>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</si>
  <si>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</si>
  <si>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</si>
  <si>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</si>
  <si>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</si>
  <si>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</si>
  <si>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</si>
  <si>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</si>
  <si>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</si>
  <si>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</si>
  <si>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</si>
  <si>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</si>
  <si>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</si>
  <si>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</si>
  <si>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</si>
  <si>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</si>
  <si>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</si>
  <si>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</si>
  <si>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</si>
  <si>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</si>
  <si>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</si>
  <si>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</si>
  <si>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</si>
  <si>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</si>
  <si>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</si>
  <si>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</si>
  <si>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</si>
  <si>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</si>
  <si>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</si>
  <si>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</si>
  <si>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</si>
  <si>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</si>
  <si>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</si>
  <si>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</si>
  <si>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</si>
  <si>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</si>
  <si>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</si>
  <si>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</si>
  <si>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</si>
  <si>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</si>
  <si>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</si>
  <si>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</si>
  <si>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</si>
  <si>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</si>
  <si>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</si>
  <si>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</si>
  <si>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</si>
  <si>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</si>
  <si>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</si>
  <si>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</si>
  <si>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</si>
  <si>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</si>
  <si>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</si>
  <si>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</si>
  <si>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</si>
  <si>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</si>
  <si>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</si>
  <si>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</si>
  <si>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</si>
  <si>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</si>
  <si>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</si>
  <si>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</si>
  <si>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</si>
  <si>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</si>
  <si>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</si>
  <si>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</si>
  <si>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</si>
  <si>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</si>
  <si>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</si>
  <si>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</si>
  <si>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</si>
  <si>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</si>
  <si>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</si>
  <si>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</si>
  <si>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</si>
  <si>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</si>
  <si>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</si>
  <si>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</si>
  <si>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</si>
  <si>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</si>
  <si>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</si>
  <si>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</si>
  <si>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</si>
  <si>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</si>
  <si>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</si>
  <si>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</si>
  <si>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</si>
  <si>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</si>
  <si>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</si>
  <si>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</si>
  <si>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</si>
  <si>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</si>
  <si>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</si>
  <si>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</si>
  <si>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</si>
  <si>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</si>
  <si>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</si>
  <si>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</si>
  <si>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</si>
  <si>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</si>
  <si>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</si>
  <si>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</si>
  <si>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</si>
  <si>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</si>
  <si>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</si>
  <si>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</si>
  <si>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</si>
  <si>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</si>
  <si>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</si>
  <si>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</si>
  <si>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</si>
  <si>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</si>
  <si>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</si>
  <si>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</si>
  <si>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</si>
  <si>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</si>
  <si>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</si>
  <si>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</si>
  <si>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</si>
  <si>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</si>
  <si>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</si>
  <si>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</si>
  <si>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</si>
  <si>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</si>
  <si>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</si>
  <si>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</si>
  <si>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</si>
  <si>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</si>
  <si>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</si>
  <si>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</si>
  <si>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</si>
  <si>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</si>
  <si>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</si>
  <si>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</si>
  <si>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</si>
  <si>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</si>
  <si>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</si>
  <si>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</si>
  <si>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</si>
  <si>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</si>
  <si>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</si>
  <si>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</si>
  <si>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</si>
  <si>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</si>
  <si>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</si>
  <si>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</si>
  <si>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</si>
  <si>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</si>
  <si>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</si>
  <si>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</si>
  <si>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</si>
  <si>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</si>
  <si>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</si>
  <si>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</si>
  <si>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</si>
  <si>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</si>
  <si>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</si>
  <si>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</si>
  <si>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</si>
  <si>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</si>
  <si>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</si>
  <si>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</si>
  <si>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</si>
  <si>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</si>
  <si>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</si>
  <si>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</si>
  <si>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</si>
  <si>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</si>
  <si>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</si>
  <si>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</si>
  <si>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</si>
  <si>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</si>
  <si>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</si>
  <si>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</si>
  <si>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</si>
  <si>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</si>
  <si>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</si>
  <si>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</si>
  <si>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</si>
  <si>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</si>
  <si>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</si>
  <si>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</si>
  <si>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</si>
  <si>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</si>
  <si>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</si>
  <si>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</si>
  <si>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</si>
  <si>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</si>
  <si>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</si>
  <si>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</si>
  <si>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</si>
  <si>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</si>
  <si>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</si>
  <si>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</si>
  <si>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</si>
  <si>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</si>
  <si>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</si>
  <si>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</si>
  <si>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</si>
  <si>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</si>
  <si>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</si>
  <si>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</si>
  <si>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</si>
  <si>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</si>
  <si>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</si>
  <si>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</si>
  <si>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</si>
  <si>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</si>
  <si>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</si>
  <si>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</si>
  <si>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</si>
  <si>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</si>
  <si>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</si>
  <si>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</si>
  <si>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</si>
  <si>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</si>
  <si>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</si>
  <si>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</si>
  <si>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</si>
  <si>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</si>
  <si>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</si>
  <si>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</si>
  <si>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</si>
  <si>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</si>
  <si>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</si>
  <si>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</si>
  <si>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</si>
  <si>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</si>
  <si>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</si>
  <si>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</si>
  <si>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</si>
  <si>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</si>
  <si>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</si>
  <si>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</si>
  <si>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</si>
  <si>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</si>
  <si>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</si>
  <si>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</si>
  <si>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</si>
  <si>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</si>
  <si>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</si>
  <si>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</si>
  <si>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</si>
  <si>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</si>
  <si>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</si>
  <si>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</si>
  <si>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</si>
  <si>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</si>
  <si>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</si>
  <si>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</si>
  <si>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</si>
  <si>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</si>
  <si>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</si>
  <si>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</si>
  <si>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</si>
  <si>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</si>
  <si>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</si>
  <si>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</si>
  <si>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</si>
  <si>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</si>
  <si>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</si>
  <si>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</si>
  <si>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</si>
  <si>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</si>
  <si>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</si>
  <si>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</si>
  <si>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</si>
  <si>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</si>
  <si>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</si>
  <si>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</si>
  <si>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</si>
  <si>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</si>
  <si>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</si>
  <si>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</si>
  <si>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</si>
  <si>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</si>
  <si>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</si>
  <si>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</si>
  <si>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</si>
  <si>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</si>
  <si>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</si>
  <si>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</si>
  <si>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</si>
  <si>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</si>
  <si>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</si>
  <si>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</si>
  <si>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</si>
  <si>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</si>
  <si>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</si>
  <si>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</si>
  <si>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</si>
  <si>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</si>
  <si>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</si>
  <si>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</si>
  <si>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</si>
  <si>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</si>
  <si>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</si>
  <si>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</si>
  <si>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</si>
  <si>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</si>
  <si>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</si>
  <si>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</si>
  <si>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</si>
  <si>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</si>
  <si>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</si>
  <si>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</si>
  <si>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</si>
  <si>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</si>
  <si>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</si>
  <si>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</si>
  <si>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</si>
  <si>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</si>
  <si>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</si>
  <si>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</si>
  <si>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</si>
  <si>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</si>
  <si>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</si>
  <si>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</si>
  <si>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</si>
  <si>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</si>
  <si>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</si>
  <si>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</si>
  <si>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</si>
  <si>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</si>
  <si>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</si>
  <si>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</si>
  <si>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</si>
  <si>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</si>
  <si>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</si>
  <si>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</si>
  <si>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</si>
  <si>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</si>
  <si>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</si>
  <si>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</si>
  <si>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</si>
  <si>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</si>
  <si>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</si>
  <si>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</si>
  <si>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</si>
  <si>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</si>
  <si>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</si>
  <si>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</si>
  <si>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</si>
  <si>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</si>
  <si>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</si>
  <si>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</si>
  <si>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</si>
  <si>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</si>
  <si>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</si>
  <si>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</si>
  <si>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</si>
  <si>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</si>
  <si>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</si>
  <si>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</si>
  <si>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</si>
  <si>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</si>
  <si>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</si>
  <si>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</si>
  <si>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</si>
  <si>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</si>
  <si>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</si>
  <si>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</si>
  <si>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</si>
  <si>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</si>
  <si>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</si>
  <si>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</si>
  <si>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</si>
  <si>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</si>
  <si>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</si>
  <si>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</si>
  <si>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</si>
  <si>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</si>
  <si>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</si>
  <si>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</si>
  <si>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</si>
  <si>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</si>
  <si>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</si>
  <si>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</si>
  <si>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</si>
  <si>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</si>
  <si>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</si>
  <si>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</si>
  <si>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</si>
  <si>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</si>
  <si>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</si>
  <si>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</si>
  <si>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</si>
  <si>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</si>
  <si>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</si>
  <si>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</si>
  <si>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</si>
  <si>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</si>
  <si>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</si>
  <si>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</si>
  <si>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</si>
  <si>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</si>
  <si>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</si>
  <si>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</si>
  <si>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</si>
  <si>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</si>
  <si>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</si>
  <si>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</si>
  <si>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</si>
  <si>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</si>
  <si>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</si>
  <si>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</si>
  <si>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</si>
  <si>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</si>
  <si>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</si>
  <si>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</si>
  <si>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</si>
  <si>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</si>
  <si>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</si>
  <si>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</si>
  <si>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</si>
  <si>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</si>
  <si>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</si>
  <si>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</si>
  <si>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</si>
  <si>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</si>
  <si>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</si>
  <si>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</si>
  <si>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</si>
  <si>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</si>
  <si>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</si>
  <si>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</si>
  <si>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</si>
  <si>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</si>
  <si>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</si>
  <si>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</si>
  <si>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</si>
  <si>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</si>
  <si>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</si>
  <si>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</si>
  <si>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</si>
  <si>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</si>
  <si>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</si>
  <si>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</si>
  <si>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</si>
  <si>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</si>
  <si>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</si>
  <si>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</si>
  <si>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</si>
  <si>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</si>
  <si>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</si>
  <si>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</si>
  <si>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</si>
  <si>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</si>
  <si>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</si>
  <si>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</si>
  <si>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</si>
  <si>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</si>
  <si>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</si>
  <si>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</si>
  <si>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</si>
  <si>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</si>
  <si>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</si>
  <si>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</si>
  <si>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</si>
  <si>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</si>
  <si>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</si>
  <si>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</si>
  <si>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</si>
  <si>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</si>
  <si>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</si>
  <si>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</si>
  <si>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</si>
  <si>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</si>
  <si>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</si>
  <si>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</si>
  <si>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</si>
  <si>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</si>
  <si>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</si>
  <si>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</si>
  <si>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</si>
  <si>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</si>
  <si>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</si>
  <si>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</si>
  <si>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</si>
  <si>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</si>
  <si>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</si>
  <si>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</si>
  <si>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</si>
  <si>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</si>
  <si>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</si>
  <si>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</si>
  <si>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</si>
  <si>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</si>
  <si>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</si>
  <si>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</si>
  <si>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</si>
  <si>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</si>
  <si>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</si>
  <si>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</si>
  <si>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</si>
  <si>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</si>
  <si>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</si>
  <si>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</si>
  <si>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</si>
  <si>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</si>
  <si>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</si>
  <si>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</si>
  <si>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</si>
  <si>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</si>
  <si>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</si>
  <si>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</si>
  <si>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</si>
  <si>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</si>
  <si>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</si>
  <si>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</si>
  <si>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</si>
  <si>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</si>
  <si>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</si>
  <si>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</si>
  <si>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</si>
  <si>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</si>
  <si>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</si>
  <si>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</si>
  <si>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</si>
  <si>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</si>
  <si>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</si>
  <si>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</si>
  <si>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</si>
  <si>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</si>
  <si>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</si>
  <si>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</si>
  <si>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</si>
  <si>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</si>
  <si>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</si>
  <si>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</si>
  <si>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</si>
  <si>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</si>
  <si>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</si>
  <si>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</si>
  <si>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</si>
  <si>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</si>
  <si>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</si>
  <si>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</si>
  <si>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</si>
  <si>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</si>
  <si>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</si>
  <si>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</si>
  <si>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</si>
  <si>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</si>
  <si>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</si>
  <si>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</si>
  <si>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</si>
  <si>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</si>
  <si>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</si>
  <si>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</si>
  <si>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</si>
  <si>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</si>
  <si>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</si>
  <si>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</si>
  <si>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</si>
  <si>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</si>
  <si>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</si>
  <si>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</si>
  <si>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</si>
  <si>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</si>
  <si>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</si>
  <si>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</si>
  <si>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</si>
  <si>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</si>
  <si>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</si>
  <si>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</si>
  <si>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</si>
  <si>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</si>
  <si>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</si>
  <si>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</si>
  <si>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</si>
  <si>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</si>
  <si>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</si>
  <si>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</si>
  <si>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</si>
  <si>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</si>
  <si>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</si>
  <si>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</si>
  <si>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</si>
  <si>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</si>
  <si>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</si>
  <si>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</si>
  <si>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</si>
  <si>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</si>
  <si>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</si>
  <si>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</si>
  <si>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</si>
  <si>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</si>
  <si>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</si>
  <si>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</si>
  <si>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</si>
  <si>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</si>
  <si>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</si>
  <si>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</si>
  <si>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</si>
  <si>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</si>
  <si>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</si>
  <si>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</si>
  <si>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</si>
  <si>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</si>
  <si>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</si>
  <si>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</si>
  <si>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</si>
  <si>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</si>
  <si>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</si>
  <si>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</si>
  <si>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</si>
  <si>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</si>
  <si>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</si>
  <si>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</si>
  <si>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</si>
  <si>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</si>
  <si>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</si>
  <si>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</si>
  <si>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</si>
  <si>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</si>
  <si>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</si>
  <si>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</si>
  <si>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</si>
  <si>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</si>
  <si>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</si>
  <si>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</si>
  <si>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</si>
  <si>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</si>
  <si>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</si>
  <si>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</si>
  <si>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</si>
  <si>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</si>
  <si>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</si>
  <si>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</si>
  <si>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</si>
  <si>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</si>
  <si>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</si>
  <si>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</si>
  <si>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</si>
  <si>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</si>
  <si>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</si>
  <si>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</si>
  <si>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</si>
  <si>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</si>
  <si>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</si>
  <si>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</si>
  <si>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</si>
  <si>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</si>
  <si>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</si>
  <si>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</si>
  <si>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</si>
  <si>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</si>
  <si>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</si>
  <si>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</si>
  <si>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</si>
  <si>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</si>
  <si>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</si>
  <si>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</si>
  <si>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</si>
  <si>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</si>
  <si>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</si>
  <si>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</si>
  <si>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</si>
  <si>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</si>
  <si>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</si>
  <si>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</si>
  <si>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</si>
  <si>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</si>
  <si>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</si>
  <si>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</si>
  <si>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</si>
  <si>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</si>
  <si>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</si>
  <si>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</si>
  <si>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</si>
  <si>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</si>
  <si>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</si>
  <si>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</si>
  <si>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</si>
  <si>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</si>
  <si>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</si>
  <si>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</si>
  <si>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</si>
  <si>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</si>
  <si>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</si>
  <si>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</si>
  <si>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</si>
  <si>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</si>
  <si>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</si>
  <si>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</si>
  <si>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</si>
  <si>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</si>
  <si>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</si>
  <si>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</si>
  <si>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</si>
  <si>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</si>
  <si>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</si>
  <si>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</si>
  <si>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</si>
  <si>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</si>
  <si>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</si>
  <si>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</si>
  <si>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</si>
  <si>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</si>
  <si>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</si>
  <si>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</si>
  <si>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</si>
  <si>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</si>
  <si>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</si>
  <si>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</si>
  <si>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</si>
  <si>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</si>
  <si>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</si>
  <si>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</si>
  <si>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</si>
  <si>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</si>
  <si>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</si>
  <si>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</si>
  <si>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</si>
  <si>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</si>
  <si>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</si>
  <si>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</si>
  <si>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</si>
  <si>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</si>
  <si>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</si>
  <si>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</si>
  <si>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</si>
  <si>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</si>
  <si>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</si>
  <si>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</si>
  <si>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</si>
  <si>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</si>
  <si>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</si>
  <si>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</si>
  <si>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</si>
  <si>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</si>
  <si>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</si>
  <si>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</si>
  <si>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</si>
  <si>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</si>
  <si>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</si>
  <si>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</si>
  <si>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</si>
  <si>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</si>
  <si>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</si>
  <si>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</si>
  <si>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</si>
  <si>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</si>
  <si>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</si>
  <si>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</si>
  <si>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</si>
  <si>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</si>
  <si>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</si>
  <si>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</si>
  <si>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</si>
  <si>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</si>
  <si>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</si>
  <si>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</si>
  <si>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</si>
  <si>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</si>
  <si>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</si>
  <si>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</si>
  <si>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</si>
  <si>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</si>
  <si>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</si>
  <si>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</si>
  <si>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</si>
  <si>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</si>
  <si>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</si>
  <si>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</si>
  <si>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</si>
  <si>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</si>
  <si>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</si>
  <si>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</si>
  <si>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</si>
  <si>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</si>
  <si>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</si>
  <si>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</si>
  <si>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</si>
  <si>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</si>
  <si>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</si>
  <si>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</si>
  <si>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</si>
  <si>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</si>
  <si>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</si>
  <si>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</si>
  <si>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</si>
  <si>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</si>
  <si>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</si>
  <si>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</si>
  <si>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</si>
  <si>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</si>
  <si>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</si>
  <si>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</si>
  <si>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</si>
  <si>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</si>
  <si>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</si>
  <si>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</si>
  <si>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</si>
  <si>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</si>
  <si>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</si>
  <si>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</si>
  <si>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</si>
  <si>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</si>
  <si>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</si>
  <si>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</si>
  <si>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</si>
  <si>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</si>
  <si>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</si>
  <si>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</si>
  <si>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</si>
  <si>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</si>
  <si>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</si>
  <si>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</si>
  <si>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</si>
  <si>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</si>
  <si>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</si>
  <si>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</si>
  <si>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</si>
  <si>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</si>
  <si>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</si>
  <si>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</si>
  <si>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</si>
  <si>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</si>
  <si>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</si>
  <si>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</si>
  <si>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</si>
  <si>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</si>
  <si>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</si>
  <si>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</si>
  <si>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</si>
  <si>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</si>
  <si>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</si>
  <si>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</si>
  <si>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</si>
  <si>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</si>
  <si>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</si>
  <si>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</si>
  <si>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</si>
  <si>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</si>
  <si>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</si>
  <si>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</si>
  <si>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</si>
  <si>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</si>
  <si>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</si>
  <si>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</si>
  <si>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</si>
  <si>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</si>
  <si>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</si>
  <si>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</si>
  <si>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</si>
  <si>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</si>
  <si>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</si>
  <si>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</si>
  <si>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</si>
  <si>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</si>
  <si>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</si>
  <si>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</si>
  <si>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</si>
  <si>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</si>
  <si>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</si>
  <si>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</si>
  <si>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</si>
  <si>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</si>
  <si>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</si>
  <si>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</si>
  <si>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</si>
  <si>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</si>
  <si>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</si>
  <si>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</si>
  <si>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</si>
  <si>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</si>
  <si>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</si>
  <si>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</si>
  <si>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</si>
  <si>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</si>
  <si>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</si>
  <si>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</si>
  <si>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</si>
  <si>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</si>
  <si>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</si>
  <si>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</si>
  <si>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</si>
  <si>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</si>
  <si>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</si>
  <si>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</si>
  <si>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</si>
  <si>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</si>
  <si>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</si>
  <si>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</si>
  <si>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</si>
  <si>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</si>
  <si>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</si>
  <si>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</si>
  <si>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</si>
  <si>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</si>
  <si>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</si>
  <si>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</si>
  <si>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</si>
  <si>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</si>
  <si>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</si>
  <si>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</si>
  <si>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</si>
  <si>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</si>
  <si>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</si>
  <si>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</si>
  <si>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</si>
  <si>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</si>
  <si>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</si>
  <si>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</si>
  <si>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</si>
  <si>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</si>
  <si>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</si>
  <si>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</si>
  <si>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</si>
  <si>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</si>
  <si>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</si>
  <si>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</si>
  <si>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</si>
  <si>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</si>
  <si>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</si>
  <si>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</si>
  <si>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</si>
  <si>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</si>
  <si>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</si>
  <si>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</si>
  <si>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</si>
  <si>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</si>
  <si>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</si>
  <si>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</si>
  <si>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</si>
  <si>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</si>
  <si>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</si>
  <si>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</si>
  <si>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</si>
  <si>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لوتوس 294 تا 3379.7</t>
  </si>
  <si>
    <t>طلای لوتوس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</si>
  <si>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</si>
  <si>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</si>
  <si>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</si>
  <si>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</si>
  <si>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</si>
  <si>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</si>
  <si>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</si>
  <si>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وغدیر 102893 تا 164</t>
  </si>
  <si>
    <t>18/6/1397</t>
  </si>
  <si>
    <t>زاگرس 922 تا 5482.5</t>
  </si>
  <si>
    <t>زاگرس</t>
  </si>
  <si>
    <t>آتی زعفران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</si>
</sst>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31" workbookViewId="0">
      <selection activeCell="E51" sqref="E51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4103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4100</v>
      </c>
      <c r="B3" s="18">
        <v>3000000</v>
      </c>
      <c r="C3" s="18">
        <v>0</v>
      </c>
      <c r="D3" s="121">
        <f t="shared" ref="D3:D22" si="0">B3-C3</f>
        <v>3000000</v>
      </c>
      <c r="E3" s="20" t="s">
        <v>4102</v>
      </c>
      <c r="F3" s="100">
        <v>30</v>
      </c>
      <c r="G3" s="100">
        <f t="shared" ref="G3:G23" si="1">B3*F3</f>
        <v>90000000</v>
      </c>
      <c r="H3" s="100">
        <f t="shared" ref="H3:H23" si="2">C3*F3</f>
        <v>0</v>
      </c>
      <c r="I3" s="100">
        <f t="shared" ref="I3:I23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4111</v>
      </c>
      <c r="B4" s="18">
        <v>-35800</v>
      </c>
      <c r="C4" s="18">
        <v>0</v>
      </c>
      <c r="D4" s="117">
        <f t="shared" si="0"/>
        <v>-35800</v>
      </c>
      <c r="E4" s="103" t="s">
        <v>4006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4110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4110</v>
      </c>
      <c r="B6" s="18">
        <v>-33377</v>
      </c>
      <c r="C6" s="18">
        <v>0</v>
      </c>
      <c r="D6" s="117">
        <f t="shared" si="0"/>
        <v>-33377</v>
      </c>
      <c r="E6" s="19" t="s">
        <v>4116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4148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4148</v>
      </c>
      <c r="B8" s="18">
        <v>18000000</v>
      </c>
      <c r="C8" s="18">
        <v>0</v>
      </c>
      <c r="D8" s="117">
        <f t="shared" si="0"/>
        <v>18000000</v>
      </c>
      <c r="E8" s="19" t="s">
        <v>4149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4148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4148</v>
      </c>
      <c r="B10" s="18">
        <v>-11600</v>
      </c>
      <c r="C10" s="18">
        <v>0</v>
      </c>
      <c r="D10" s="117">
        <f t="shared" si="0"/>
        <v>-11600</v>
      </c>
      <c r="E10" s="19" t="s">
        <v>4154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4148</v>
      </c>
      <c r="B11" s="18">
        <v>-3304327</v>
      </c>
      <c r="C11" s="18">
        <v>0</v>
      </c>
      <c r="D11" s="117">
        <f t="shared" si="0"/>
        <v>-3304327</v>
      </c>
      <c r="E11" s="19" t="s">
        <v>4155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4159</v>
      </c>
      <c r="B12" s="18">
        <v>-3000900</v>
      </c>
      <c r="C12" s="18">
        <v>0</v>
      </c>
      <c r="D12" s="117">
        <f t="shared" si="0"/>
        <v>-3000900</v>
      </c>
      <c r="E12" s="20" t="s">
        <v>4160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4165</v>
      </c>
      <c r="B13" s="18">
        <v>-2760900</v>
      </c>
      <c r="C13" s="18">
        <v>0</v>
      </c>
      <c r="D13" s="117">
        <f t="shared" si="0"/>
        <v>-2760900</v>
      </c>
      <c r="E13" s="20" t="s">
        <v>4166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4180</v>
      </c>
      <c r="B14" s="18">
        <v>1000000</v>
      </c>
      <c r="C14" s="18">
        <v>0</v>
      </c>
      <c r="D14" s="117">
        <f t="shared" si="0"/>
        <v>1000000</v>
      </c>
      <c r="E14" s="20" t="s">
        <v>4157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4200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4196</v>
      </c>
      <c r="B16" s="18">
        <v>-990000</v>
      </c>
      <c r="C16" s="18">
        <v>0</v>
      </c>
      <c r="D16" s="117">
        <f t="shared" si="0"/>
        <v>-990000</v>
      </c>
      <c r="E16" s="20" t="s">
        <v>3804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4196</v>
      </c>
      <c r="B17" s="18">
        <v>783000</v>
      </c>
      <c r="C17" s="18">
        <v>0</v>
      </c>
      <c r="D17" s="117">
        <f t="shared" si="0"/>
        <v>783000</v>
      </c>
      <c r="E17" s="20" t="s">
        <v>4206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16" t="s">
        <v>6</v>
      </c>
      <c r="B24" s="117">
        <f>SUM(B2:B22)</f>
        <v>791347</v>
      </c>
      <c r="C24" s="117">
        <f>SUM(C2:C22)</f>
        <v>7835443</v>
      </c>
      <c r="D24" s="117">
        <f>SUM(D2:D22)</f>
        <v>-7044096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00"/>
      <c r="B25" s="100"/>
      <c r="C25" s="100"/>
      <c r="D25" s="100"/>
      <c r="E25" s="100"/>
      <c r="F25" s="100"/>
      <c r="G25" s="18">
        <f>SUM(G2:G23)</f>
        <v>58180854</v>
      </c>
      <c r="H25" s="18">
        <f>SUM(H2:H23)</f>
        <v>242898733</v>
      </c>
      <c r="I25" s="18">
        <f>SUM(I2:I23)</f>
        <v>-184717879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42">
        <v>-11953237</v>
      </c>
      <c r="E30" s="41" t="s">
        <v>95</v>
      </c>
      <c r="F30" s="100"/>
      <c r="G30" s="18">
        <v>600</v>
      </c>
      <c r="H30" s="18">
        <f>G30*H25/G25</f>
        <v>2504.9346955271576</v>
      </c>
      <c r="I30" s="18">
        <f>G30*I25/G25</f>
        <v>-1904.9346955271574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/>
      <c r="C31" s="100"/>
      <c r="D31" s="42">
        <v>814100</v>
      </c>
      <c r="E31" s="54" t="s">
        <v>4104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18"/>
      <c r="C32" s="100"/>
      <c r="D32" s="42">
        <v>-80000</v>
      </c>
      <c r="E32" s="41" t="s">
        <v>4108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-3600000</v>
      </c>
      <c r="E33" s="41" t="s">
        <v>4109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33377</v>
      </c>
      <c r="E34" s="41" t="s">
        <v>4117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ht="45" x14ac:dyDescent="0.25">
      <c r="A35" s="100"/>
      <c r="B35" s="100"/>
      <c r="C35" s="100"/>
      <c r="D35" s="118">
        <v>-2495233</v>
      </c>
      <c r="E35" s="54" t="s">
        <v>4136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3304327</v>
      </c>
      <c r="E36" s="41" t="s">
        <v>4156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10000</v>
      </c>
      <c r="E37" s="41" t="s">
        <v>4157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3000900</v>
      </c>
      <c r="E38" s="41" t="s">
        <v>4158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2760900</v>
      </c>
      <c r="E39" s="41" t="s">
        <v>4167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-500000</v>
      </c>
      <c r="E40" s="41" t="s">
        <v>4170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-200000</v>
      </c>
      <c r="E41" s="41" t="s">
        <v>1244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642064</v>
      </c>
      <c r="E42" s="41" t="s">
        <v>4179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-1000000</v>
      </c>
      <c r="E43" s="41" t="s">
        <v>4181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200000</v>
      </c>
      <c r="E44" s="41" t="s">
        <v>4182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-110000</v>
      </c>
      <c r="E45" s="41" t="s">
        <v>792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-1300000</v>
      </c>
      <c r="E46" s="41" t="s">
        <v>4197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-5000</v>
      </c>
      <c r="E47" s="41" t="s">
        <v>4197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-50000</v>
      </c>
      <c r="E48" s="41" t="s">
        <v>4204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-5000</v>
      </c>
      <c r="E49" s="41" t="s">
        <v>4205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-94056</v>
      </c>
      <c r="E50" s="41" t="s">
        <v>4209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0</v>
      </c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 t="s">
        <v>25</v>
      </c>
      <c r="E53" s="41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f>SUM(D30:D54)</f>
        <v>-10626858</v>
      </c>
      <c r="E57" s="100" t="s">
        <v>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/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00"/>
      <c r="E60" s="100" t="s">
        <v>25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9" activePane="bottomLeft" state="frozen"/>
      <selection pane="bottomLeft" activeCell="F196" sqref="F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881</v>
      </c>
      <c r="H2" s="36">
        <f>IF(B2&gt;0,1,0)</f>
        <v>1</v>
      </c>
      <c r="I2" s="11">
        <f>B2*(G2-H2)</f>
        <v>14696000</v>
      </c>
      <c r="J2" s="53">
        <f>C2*(G2-H2)</f>
        <v>14696000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880</v>
      </c>
      <c r="H3" s="36">
        <f t="shared" ref="H3:H66" si="2">IF(B3&gt;0,1,0)</f>
        <v>1</v>
      </c>
      <c r="I3" s="11">
        <f t="shared" ref="I3:I66" si="3">B3*(G3-H3)</f>
        <v>17492100000</v>
      </c>
      <c r="J3" s="53">
        <f t="shared" ref="J3:J66" si="4">C3*(G3-H3)</f>
        <v>10009173000</v>
      </c>
      <c r="K3" s="53">
        <f t="shared" ref="K3:K66" si="5">D3*(G3-H3)</f>
        <v>7482927000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880</v>
      </c>
      <c r="H4" s="36">
        <f t="shared" si="2"/>
        <v>0</v>
      </c>
      <c r="I4" s="11">
        <f t="shared" si="3"/>
        <v>0</v>
      </c>
      <c r="J4" s="53">
        <f t="shared" si="4"/>
        <v>7480000</v>
      </c>
      <c r="K4" s="53">
        <f t="shared" si="5"/>
        <v>-7480000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878</v>
      </c>
      <c r="H5" s="36">
        <f t="shared" si="2"/>
        <v>1</v>
      </c>
      <c r="I5" s="11">
        <f t="shared" si="3"/>
        <v>1754000000</v>
      </c>
      <c r="J5" s="53">
        <f t="shared" si="4"/>
        <v>0</v>
      </c>
      <c r="K5" s="53">
        <f t="shared" si="5"/>
        <v>1754000000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871</v>
      </c>
      <c r="H6" s="36">
        <f t="shared" si="2"/>
        <v>0</v>
      </c>
      <c r="I6" s="11">
        <f t="shared" si="3"/>
        <v>-4355000</v>
      </c>
      <c r="J6" s="53">
        <f t="shared" si="4"/>
        <v>0</v>
      </c>
      <c r="K6" s="53">
        <f t="shared" si="5"/>
        <v>-4355000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867</v>
      </c>
      <c r="H7" s="36">
        <f t="shared" si="2"/>
        <v>0</v>
      </c>
      <c r="I7" s="11">
        <f t="shared" si="3"/>
        <v>-1040833500</v>
      </c>
      <c r="J7" s="53">
        <f t="shared" si="4"/>
        <v>0</v>
      </c>
      <c r="K7" s="53">
        <f t="shared" si="5"/>
        <v>-1040833500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866</v>
      </c>
      <c r="H8" s="36">
        <f t="shared" si="2"/>
        <v>0</v>
      </c>
      <c r="I8" s="11">
        <f t="shared" si="3"/>
        <v>-173200000</v>
      </c>
      <c r="J8" s="53">
        <f t="shared" si="4"/>
        <v>0</v>
      </c>
      <c r="K8" s="53">
        <f t="shared" si="5"/>
        <v>-173200000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864</v>
      </c>
      <c r="H9" s="36">
        <f t="shared" si="2"/>
        <v>0</v>
      </c>
      <c r="I9" s="11">
        <f t="shared" si="3"/>
        <v>-609552000</v>
      </c>
      <c r="J9" s="53">
        <f t="shared" si="4"/>
        <v>0</v>
      </c>
      <c r="K9" s="53">
        <f t="shared" si="5"/>
        <v>-609552000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855</v>
      </c>
      <c r="H10" s="36">
        <f t="shared" si="2"/>
        <v>0</v>
      </c>
      <c r="I10" s="11">
        <f t="shared" si="3"/>
        <v>-171000000</v>
      </c>
      <c r="J10" s="53">
        <f t="shared" si="4"/>
        <v>0</v>
      </c>
      <c r="K10" s="53">
        <f t="shared" si="5"/>
        <v>-171000000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855</v>
      </c>
      <c r="H11" s="36">
        <f t="shared" si="2"/>
        <v>1</v>
      </c>
      <c r="I11" s="11">
        <f t="shared" si="3"/>
        <v>854000000</v>
      </c>
      <c r="J11" s="53">
        <f t="shared" si="4"/>
        <v>0</v>
      </c>
      <c r="K11" s="53">
        <f t="shared" si="5"/>
        <v>854000000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851</v>
      </c>
      <c r="H12" s="36">
        <f t="shared" si="2"/>
        <v>0</v>
      </c>
      <c r="I12" s="11">
        <f t="shared" si="3"/>
        <v>-255300000</v>
      </c>
      <c r="J12" s="53">
        <f t="shared" si="4"/>
        <v>0</v>
      </c>
      <c r="K12" s="53">
        <f t="shared" si="5"/>
        <v>-255300000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846</v>
      </c>
      <c r="H13" s="36">
        <f t="shared" si="2"/>
        <v>0</v>
      </c>
      <c r="I13" s="11">
        <f t="shared" si="3"/>
        <v>-52452000</v>
      </c>
      <c r="J13" s="53">
        <f t="shared" si="4"/>
        <v>0</v>
      </c>
      <c r="K13" s="53">
        <f t="shared" si="5"/>
        <v>-52452000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846</v>
      </c>
      <c r="H14" s="36">
        <f t="shared" si="2"/>
        <v>1</v>
      </c>
      <c r="I14" s="11">
        <f t="shared" si="3"/>
        <v>1690000000</v>
      </c>
      <c r="J14" s="53">
        <f t="shared" si="4"/>
        <v>0</v>
      </c>
      <c r="K14" s="53">
        <f t="shared" si="5"/>
        <v>1690000000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845</v>
      </c>
      <c r="H15" s="36">
        <f t="shared" si="2"/>
        <v>1</v>
      </c>
      <c r="I15" s="11">
        <f t="shared" si="3"/>
        <v>1519200000</v>
      </c>
      <c r="J15" s="53">
        <f t="shared" si="4"/>
        <v>0</v>
      </c>
      <c r="K15" s="53">
        <f t="shared" si="5"/>
        <v>1519200000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845</v>
      </c>
      <c r="H16" s="36">
        <f t="shared" si="2"/>
        <v>0</v>
      </c>
      <c r="I16" s="11">
        <f t="shared" si="3"/>
        <v>-169000000</v>
      </c>
      <c r="J16" s="53">
        <f t="shared" si="4"/>
        <v>0</v>
      </c>
      <c r="K16" s="53">
        <f t="shared" si="5"/>
        <v>-169000000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841</v>
      </c>
      <c r="H17" s="36">
        <f t="shared" si="2"/>
        <v>0</v>
      </c>
      <c r="I17" s="11">
        <f t="shared" si="3"/>
        <v>-1682000000</v>
      </c>
      <c r="J17" s="53">
        <f t="shared" si="4"/>
        <v>0</v>
      </c>
      <c r="K17" s="53">
        <f t="shared" si="5"/>
        <v>-1682000000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840</v>
      </c>
      <c r="H18" s="36">
        <f t="shared" si="2"/>
        <v>0</v>
      </c>
      <c r="I18" s="11">
        <f t="shared" si="3"/>
        <v>-252000000</v>
      </c>
      <c r="J18" s="53">
        <f t="shared" si="4"/>
        <v>0</v>
      </c>
      <c r="K18" s="53">
        <f t="shared" si="5"/>
        <v>-252000000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839</v>
      </c>
      <c r="H19" s="36">
        <f t="shared" si="2"/>
        <v>0</v>
      </c>
      <c r="I19" s="11">
        <f t="shared" si="3"/>
        <v>-167800000</v>
      </c>
      <c r="J19" s="53">
        <f t="shared" si="4"/>
        <v>0</v>
      </c>
      <c r="K19" s="53">
        <f t="shared" si="5"/>
        <v>-167800000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837</v>
      </c>
      <c r="H20" s="36">
        <f t="shared" si="2"/>
        <v>1</v>
      </c>
      <c r="I20" s="11">
        <f t="shared" si="3"/>
        <v>226630404</v>
      </c>
      <c r="J20" s="53">
        <f t="shared" si="4"/>
        <v>123269872</v>
      </c>
      <c r="K20" s="53">
        <f t="shared" si="5"/>
        <v>103360532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835</v>
      </c>
      <c r="H21" s="36">
        <f t="shared" si="2"/>
        <v>0</v>
      </c>
      <c r="I21" s="11">
        <f t="shared" si="3"/>
        <v>-1257259500</v>
      </c>
      <c r="J21" s="53">
        <f t="shared" si="4"/>
        <v>0</v>
      </c>
      <c r="K21" s="53">
        <f t="shared" si="5"/>
        <v>-1257259500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832</v>
      </c>
      <c r="H22" s="36">
        <f t="shared" si="2"/>
        <v>1</v>
      </c>
      <c r="I22" s="11">
        <f t="shared" si="3"/>
        <v>2493000000</v>
      </c>
      <c r="J22" s="53">
        <f t="shared" si="4"/>
        <v>0</v>
      </c>
      <c r="K22" s="53">
        <f t="shared" si="5"/>
        <v>2493000000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831</v>
      </c>
      <c r="H23" s="36">
        <f t="shared" si="2"/>
        <v>1</v>
      </c>
      <c r="I23" s="11">
        <f t="shared" si="3"/>
        <v>830000000</v>
      </c>
      <c r="J23" s="53">
        <f t="shared" si="4"/>
        <v>0</v>
      </c>
      <c r="K23" s="53">
        <f t="shared" si="5"/>
        <v>830000000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830</v>
      </c>
      <c r="H24" s="36">
        <f t="shared" si="2"/>
        <v>0</v>
      </c>
      <c r="I24" s="11">
        <f t="shared" si="3"/>
        <v>-2490747000</v>
      </c>
      <c r="J24" s="53">
        <f t="shared" si="4"/>
        <v>0</v>
      </c>
      <c r="K24" s="53">
        <f t="shared" si="5"/>
        <v>-2490747000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815</v>
      </c>
      <c r="H25" s="36">
        <f t="shared" si="2"/>
        <v>1</v>
      </c>
      <c r="I25" s="11">
        <f t="shared" si="3"/>
        <v>1221000000</v>
      </c>
      <c r="J25" s="53">
        <f t="shared" si="4"/>
        <v>0</v>
      </c>
      <c r="K25" s="53">
        <f t="shared" si="5"/>
        <v>1221000000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807</v>
      </c>
      <c r="H26" s="36">
        <f t="shared" si="2"/>
        <v>0</v>
      </c>
      <c r="I26" s="11">
        <f t="shared" si="3"/>
        <v>-132348000</v>
      </c>
      <c r="J26" s="53">
        <f t="shared" si="4"/>
        <v>0</v>
      </c>
      <c r="K26" s="53">
        <f t="shared" si="5"/>
        <v>-132348000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806</v>
      </c>
      <c r="H27" s="36">
        <f t="shared" si="2"/>
        <v>1</v>
      </c>
      <c r="I27" s="11">
        <f t="shared" si="3"/>
        <v>160511365</v>
      </c>
      <c r="J27" s="53">
        <f t="shared" si="4"/>
        <v>86467465</v>
      </c>
      <c r="K27" s="53">
        <f t="shared" si="5"/>
        <v>74043900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804</v>
      </c>
      <c r="H28" s="36">
        <f t="shared" si="2"/>
        <v>0</v>
      </c>
      <c r="I28" s="11">
        <f t="shared" si="3"/>
        <v>-177684000</v>
      </c>
      <c r="J28" s="53">
        <f t="shared" si="4"/>
        <v>-177684000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804</v>
      </c>
      <c r="H29" s="36">
        <f t="shared" si="2"/>
        <v>0</v>
      </c>
      <c r="I29" s="11">
        <f t="shared" si="3"/>
        <v>-402402000</v>
      </c>
      <c r="J29" s="53">
        <f t="shared" si="4"/>
        <v>0</v>
      </c>
      <c r="K29" s="53">
        <f t="shared" si="5"/>
        <v>-402402000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804</v>
      </c>
      <c r="H30" s="36">
        <f t="shared" si="2"/>
        <v>0</v>
      </c>
      <c r="I30" s="11">
        <f t="shared" si="3"/>
        <v>-12060000000</v>
      </c>
      <c r="J30" s="53">
        <f t="shared" si="4"/>
        <v>-12060000000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787</v>
      </c>
      <c r="H31" s="36">
        <f t="shared" si="2"/>
        <v>0</v>
      </c>
      <c r="I31" s="11">
        <f t="shared" si="3"/>
        <v>-2369578300</v>
      </c>
      <c r="J31" s="53">
        <f t="shared" si="4"/>
        <v>0</v>
      </c>
      <c r="K31" s="53">
        <f t="shared" si="5"/>
        <v>-2369578300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785</v>
      </c>
      <c r="H32" s="36">
        <f t="shared" si="2"/>
        <v>0</v>
      </c>
      <c r="I32" s="11">
        <f t="shared" si="3"/>
        <v>-2359631500</v>
      </c>
      <c r="J32" s="53">
        <f t="shared" si="4"/>
        <v>0</v>
      </c>
      <c r="K32" s="53">
        <f t="shared" si="5"/>
        <v>-2359631500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784</v>
      </c>
      <c r="H33" s="36">
        <f t="shared" si="2"/>
        <v>0</v>
      </c>
      <c r="I33" s="11">
        <f t="shared" si="3"/>
        <v>-702072000</v>
      </c>
      <c r="J33" s="53">
        <f t="shared" si="4"/>
        <v>0</v>
      </c>
      <c r="K33" s="53">
        <f t="shared" si="5"/>
        <v>-702072000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784</v>
      </c>
      <c r="H34" s="36">
        <f t="shared" si="2"/>
        <v>0</v>
      </c>
      <c r="I34" s="11">
        <f t="shared" si="3"/>
        <v>0</v>
      </c>
      <c r="J34" s="53">
        <f t="shared" si="4"/>
        <v>784000000</v>
      </c>
      <c r="K34" s="53">
        <f t="shared" si="5"/>
        <v>-784000000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775</v>
      </c>
      <c r="H35" s="36">
        <f t="shared" si="2"/>
        <v>1</v>
      </c>
      <c r="I35" s="11">
        <f t="shared" si="3"/>
        <v>40613328</v>
      </c>
      <c r="J35" s="53">
        <f t="shared" si="4"/>
        <v>-16767162</v>
      </c>
      <c r="K35" s="53">
        <f t="shared" si="5"/>
        <v>57380490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775</v>
      </c>
      <c r="H36" s="36">
        <f t="shared" si="2"/>
        <v>0</v>
      </c>
      <c r="I36" s="11">
        <f t="shared" si="3"/>
        <v>0</v>
      </c>
      <c r="J36" s="53">
        <f t="shared" si="4"/>
        <v>16788825</v>
      </c>
      <c r="K36" s="53">
        <f t="shared" si="5"/>
        <v>-16788825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765</v>
      </c>
      <c r="H37" s="36">
        <f t="shared" si="2"/>
        <v>0</v>
      </c>
      <c r="I37" s="11">
        <f t="shared" si="3"/>
        <v>-42075000</v>
      </c>
      <c r="J37" s="53">
        <f t="shared" si="4"/>
        <v>0</v>
      </c>
      <c r="K37" s="53">
        <f t="shared" si="5"/>
        <v>-42075000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764</v>
      </c>
      <c r="H38" s="36">
        <f t="shared" si="2"/>
        <v>1</v>
      </c>
      <c r="I38" s="11">
        <f t="shared" si="3"/>
        <v>2289000000</v>
      </c>
      <c r="J38" s="53">
        <f t="shared" si="4"/>
        <v>2289000000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763</v>
      </c>
      <c r="H39" s="36">
        <f t="shared" si="2"/>
        <v>1</v>
      </c>
      <c r="I39" s="11">
        <f t="shared" si="3"/>
        <v>1905000000</v>
      </c>
      <c r="J39" s="53">
        <f t="shared" si="4"/>
        <v>1905000000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763</v>
      </c>
      <c r="H40" s="36">
        <f t="shared" si="2"/>
        <v>0</v>
      </c>
      <c r="I40" s="11">
        <f t="shared" si="3"/>
        <v>-38150000</v>
      </c>
      <c r="J40" s="53">
        <f t="shared" si="4"/>
        <v>0</v>
      </c>
      <c r="K40" s="53">
        <f t="shared" si="5"/>
        <v>-38150000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763</v>
      </c>
      <c r="H41" s="36">
        <f t="shared" si="2"/>
        <v>1</v>
      </c>
      <c r="I41" s="11">
        <f t="shared" si="3"/>
        <v>2286000000</v>
      </c>
      <c r="J41" s="53">
        <f t="shared" si="4"/>
        <v>0</v>
      </c>
      <c r="K41" s="53">
        <f t="shared" si="5"/>
        <v>2286000000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760</v>
      </c>
      <c r="H42" s="36">
        <f t="shared" si="2"/>
        <v>0</v>
      </c>
      <c r="I42" s="11">
        <f t="shared" si="3"/>
        <v>-67792000</v>
      </c>
      <c r="J42" s="53">
        <f t="shared" si="4"/>
        <v>0</v>
      </c>
      <c r="K42" s="53">
        <f t="shared" si="5"/>
        <v>-67792000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756</v>
      </c>
      <c r="H43" s="36">
        <f t="shared" si="2"/>
        <v>0</v>
      </c>
      <c r="I43" s="11">
        <f t="shared" si="3"/>
        <v>-151200000</v>
      </c>
      <c r="J43" s="53">
        <f t="shared" si="4"/>
        <v>0</v>
      </c>
      <c r="K43" s="53">
        <f t="shared" si="5"/>
        <v>-151200000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754</v>
      </c>
      <c r="H44" s="36">
        <f t="shared" si="2"/>
        <v>0</v>
      </c>
      <c r="I44" s="11">
        <f t="shared" si="3"/>
        <v>-150800000</v>
      </c>
      <c r="J44" s="53">
        <f t="shared" si="4"/>
        <v>0</v>
      </c>
      <c r="K44" s="53">
        <f t="shared" si="5"/>
        <v>-150800000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754</v>
      </c>
      <c r="H45" s="36">
        <f t="shared" si="2"/>
        <v>0</v>
      </c>
      <c r="I45" s="11">
        <f t="shared" si="3"/>
        <v>-422240000</v>
      </c>
      <c r="J45" s="53">
        <f t="shared" si="4"/>
        <v>0</v>
      </c>
      <c r="K45" s="53">
        <f t="shared" si="5"/>
        <v>-422240000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750</v>
      </c>
      <c r="H46" s="36">
        <f t="shared" si="2"/>
        <v>0</v>
      </c>
      <c r="I46" s="11">
        <f t="shared" si="3"/>
        <v>-529125000</v>
      </c>
      <c r="J46" s="53">
        <f t="shared" si="4"/>
        <v>0</v>
      </c>
      <c r="K46" s="53">
        <f t="shared" si="5"/>
        <v>-529125000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744</v>
      </c>
      <c r="H47" s="36">
        <f t="shared" si="2"/>
        <v>1</v>
      </c>
      <c r="I47" s="11">
        <f t="shared" si="3"/>
        <v>30614572</v>
      </c>
      <c r="J47" s="53">
        <f t="shared" si="4"/>
        <v>4987759</v>
      </c>
      <c r="K47" s="53">
        <f t="shared" si="5"/>
        <v>25626813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744</v>
      </c>
      <c r="H48" s="36">
        <f t="shared" si="2"/>
        <v>1</v>
      </c>
      <c r="I48" s="11">
        <f t="shared" si="3"/>
        <v>1266592100</v>
      </c>
      <c r="J48" s="53">
        <f t="shared" si="4"/>
        <v>0</v>
      </c>
      <c r="K48" s="53">
        <f t="shared" si="5"/>
        <v>1266592100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735</v>
      </c>
      <c r="H49" s="36">
        <f t="shared" si="2"/>
        <v>0</v>
      </c>
      <c r="I49" s="11">
        <f t="shared" si="3"/>
        <v>-113925000</v>
      </c>
      <c r="J49" s="53">
        <f t="shared" si="4"/>
        <v>0</v>
      </c>
      <c r="K49" s="53">
        <f t="shared" si="5"/>
        <v>-113925000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735</v>
      </c>
      <c r="H50" s="36">
        <f t="shared" si="2"/>
        <v>0</v>
      </c>
      <c r="I50" s="11">
        <f t="shared" si="3"/>
        <v>-101430000</v>
      </c>
      <c r="J50" s="53">
        <f t="shared" si="4"/>
        <v>0</v>
      </c>
      <c r="K50" s="53">
        <f t="shared" si="5"/>
        <v>-101430000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735</v>
      </c>
      <c r="H51" s="36">
        <f t="shared" si="2"/>
        <v>0</v>
      </c>
      <c r="I51" s="11">
        <f t="shared" si="3"/>
        <v>-543900000</v>
      </c>
      <c r="J51" s="53">
        <f t="shared" si="4"/>
        <v>0</v>
      </c>
      <c r="K51" s="53">
        <f t="shared" si="5"/>
        <v>-543900000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735</v>
      </c>
      <c r="H52" s="36">
        <f t="shared" si="2"/>
        <v>0</v>
      </c>
      <c r="I52" s="11">
        <f t="shared" si="3"/>
        <v>-147000000</v>
      </c>
      <c r="J52" s="53">
        <f t="shared" si="4"/>
        <v>0</v>
      </c>
      <c r="K52" s="53">
        <f t="shared" si="5"/>
        <v>-147000000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734</v>
      </c>
      <c r="H53" s="36">
        <f t="shared" si="2"/>
        <v>0</v>
      </c>
      <c r="I53" s="11">
        <f t="shared" si="3"/>
        <v>-774370000</v>
      </c>
      <c r="J53" s="53">
        <f t="shared" si="4"/>
        <v>0</v>
      </c>
      <c r="K53" s="53">
        <f t="shared" si="5"/>
        <v>-774370000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734</v>
      </c>
      <c r="H54" s="36">
        <f t="shared" si="2"/>
        <v>0</v>
      </c>
      <c r="I54" s="11">
        <f t="shared" si="3"/>
        <v>-146800000</v>
      </c>
      <c r="J54" s="53">
        <f t="shared" si="4"/>
        <v>0</v>
      </c>
      <c r="K54" s="53">
        <f t="shared" si="5"/>
        <v>-146800000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734</v>
      </c>
      <c r="H55" s="36">
        <f t="shared" si="2"/>
        <v>0</v>
      </c>
      <c r="I55" s="11">
        <f t="shared" si="3"/>
        <v>-734367000</v>
      </c>
      <c r="J55" s="53">
        <f t="shared" si="4"/>
        <v>0</v>
      </c>
      <c r="K55" s="53">
        <f t="shared" si="5"/>
        <v>-734367000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734</v>
      </c>
      <c r="H56" s="36">
        <f t="shared" si="2"/>
        <v>0</v>
      </c>
      <c r="I56" s="11">
        <f t="shared" si="3"/>
        <v>-27892000</v>
      </c>
      <c r="J56" s="53">
        <f t="shared" si="4"/>
        <v>0</v>
      </c>
      <c r="K56" s="53">
        <f t="shared" si="5"/>
        <v>-27892000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734</v>
      </c>
      <c r="H57" s="36">
        <f t="shared" si="2"/>
        <v>0</v>
      </c>
      <c r="I57" s="11">
        <f t="shared" si="3"/>
        <v>-77070000</v>
      </c>
      <c r="J57" s="53">
        <f t="shared" si="4"/>
        <v>0</v>
      </c>
      <c r="K57" s="53">
        <f t="shared" si="5"/>
        <v>-77070000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734</v>
      </c>
      <c r="H58" s="36">
        <f t="shared" si="2"/>
        <v>0</v>
      </c>
      <c r="I58" s="11">
        <f t="shared" si="3"/>
        <v>-44040000</v>
      </c>
      <c r="J58" s="53">
        <f t="shared" si="4"/>
        <v>0</v>
      </c>
      <c r="K58" s="53">
        <f t="shared" si="5"/>
        <v>-44040000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731</v>
      </c>
      <c r="H59" s="36">
        <f t="shared" si="2"/>
        <v>1</v>
      </c>
      <c r="I59" s="11">
        <f t="shared" si="3"/>
        <v>730000000</v>
      </c>
      <c r="J59" s="53">
        <f t="shared" si="4"/>
        <v>730000000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730</v>
      </c>
      <c r="H60" s="36">
        <f t="shared" si="2"/>
        <v>1</v>
      </c>
      <c r="I60" s="11">
        <f t="shared" si="3"/>
        <v>2551500000</v>
      </c>
      <c r="J60" s="53">
        <f t="shared" si="4"/>
        <v>2551500000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728</v>
      </c>
      <c r="H61" s="36">
        <f t="shared" si="2"/>
        <v>1</v>
      </c>
      <c r="I61" s="11">
        <f t="shared" si="3"/>
        <v>727000000</v>
      </c>
      <c r="J61" s="53">
        <f t="shared" si="4"/>
        <v>727000000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728</v>
      </c>
      <c r="H62" s="36">
        <f t="shared" si="2"/>
        <v>1</v>
      </c>
      <c r="I62" s="11">
        <f t="shared" si="3"/>
        <v>2181000000</v>
      </c>
      <c r="J62" s="53">
        <f t="shared" si="4"/>
        <v>2181000000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726</v>
      </c>
      <c r="H63" s="36">
        <f t="shared" si="2"/>
        <v>0</v>
      </c>
      <c r="I63" s="11">
        <f t="shared" si="3"/>
        <v>-145200000</v>
      </c>
      <c r="J63" s="53">
        <f t="shared" si="4"/>
        <v>0</v>
      </c>
      <c r="K63" s="53">
        <f t="shared" si="5"/>
        <v>-145200000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721</v>
      </c>
      <c r="H64" s="36">
        <f t="shared" si="2"/>
        <v>0</v>
      </c>
      <c r="I64" s="11">
        <f t="shared" si="3"/>
        <v>-36050000</v>
      </c>
      <c r="J64" s="53">
        <f t="shared" si="4"/>
        <v>0</v>
      </c>
      <c r="K64" s="53">
        <f t="shared" si="5"/>
        <v>-36050000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717</v>
      </c>
      <c r="H65" s="36">
        <f t="shared" si="2"/>
        <v>0</v>
      </c>
      <c r="I65" s="11">
        <f t="shared" si="3"/>
        <v>-143400000</v>
      </c>
      <c r="J65" s="53">
        <f t="shared" si="4"/>
        <v>0</v>
      </c>
      <c r="K65" s="53">
        <f t="shared" si="5"/>
        <v>-143400000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714</v>
      </c>
      <c r="H66" s="36">
        <f t="shared" si="2"/>
        <v>0</v>
      </c>
      <c r="I66" s="11">
        <f t="shared" si="3"/>
        <v>-121380000</v>
      </c>
      <c r="J66" s="53">
        <f t="shared" si="4"/>
        <v>0</v>
      </c>
      <c r="K66" s="53">
        <f t="shared" si="5"/>
        <v>-121380000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713</v>
      </c>
      <c r="H67" s="36">
        <f t="shared" ref="H67:H131" si="8">IF(B67&gt;0,1,0)</f>
        <v>1</v>
      </c>
      <c r="I67" s="11">
        <f t="shared" ref="I67:I119" si="9">B67*(G67-H67)</f>
        <v>65023400</v>
      </c>
      <c r="J67" s="53">
        <f t="shared" ref="J67:J131" si="10">C67*(G67-H67)</f>
        <v>46794776</v>
      </c>
      <c r="K67" s="53">
        <f t="shared" ref="K67:K131" si="11">D67*(G67-H67)</f>
        <v>18228624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695</v>
      </c>
      <c r="H68" s="36">
        <f t="shared" si="8"/>
        <v>0</v>
      </c>
      <c r="I68" s="11">
        <f t="shared" si="9"/>
        <v>-100775000</v>
      </c>
      <c r="J68" s="53">
        <f t="shared" si="10"/>
        <v>0</v>
      </c>
      <c r="K68" s="53">
        <f t="shared" si="11"/>
        <v>-100775000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688</v>
      </c>
      <c r="H69" s="36">
        <f t="shared" si="8"/>
        <v>1</v>
      </c>
      <c r="I69" s="11">
        <f t="shared" si="9"/>
        <v>673260000</v>
      </c>
      <c r="J69" s="53">
        <f t="shared" si="10"/>
        <v>0</v>
      </c>
      <c r="K69" s="53">
        <f t="shared" si="11"/>
        <v>673260000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685</v>
      </c>
      <c r="H70" s="36">
        <f t="shared" si="8"/>
        <v>0</v>
      </c>
      <c r="I70" s="11">
        <f t="shared" si="9"/>
        <v>-31510000</v>
      </c>
      <c r="J70" s="53">
        <f t="shared" si="10"/>
        <v>0</v>
      </c>
      <c r="K70" s="53">
        <f t="shared" si="11"/>
        <v>-31510000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683</v>
      </c>
      <c r="H71" s="36">
        <f t="shared" si="8"/>
        <v>1</v>
      </c>
      <c r="I71" s="11">
        <f t="shared" si="9"/>
        <v>78660516</v>
      </c>
      <c r="J71" s="53">
        <f t="shared" si="10"/>
        <v>70799784</v>
      </c>
      <c r="K71" s="53">
        <f t="shared" si="11"/>
        <v>7860732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682</v>
      </c>
      <c r="H72" s="36">
        <f t="shared" si="8"/>
        <v>0</v>
      </c>
      <c r="I72" s="11">
        <f t="shared" si="9"/>
        <v>-103642858</v>
      </c>
      <c r="J72" s="53">
        <f t="shared" si="10"/>
        <v>0</v>
      </c>
      <c r="K72" s="53">
        <f t="shared" si="11"/>
        <v>-103642858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681</v>
      </c>
      <c r="H73" s="36">
        <f t="shared" si="8"/>
        <v>0</v>
      </c>
      <c r="I73" s="11">
        <f t="shared" si="9"/>
        <v>-548545500</v>
      </c>
      <c r="J73" s="53">
        <f t="shared" si="10"/>
        <v>0</v>
      </c>
      <c r="K73" s="53">
        <f t="shared" si="11"/>
        <v>-548545500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674</v>
      </c>
      <c r="H74" s="36">
        <f t="shared" si="8"/>
        <v>1</v>
      </c>
      <c r="I74" s="11">
        <f t="shared" si="9"/>
        <v>4707635000</v>
      </c>
      <c r="J74" s="53">
        <f t="shared" si="10"/>
        <v>0</v>
      </c>
      <c r="K74" s="53">
        <f t="shared" si="11"/>
        <v>4707635000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673</v>
      </c>
      <c r="H75" s="36">
        <f t="shared" si="8"/>
        <v>1</v>
      </c>
      <c r="I75" s="11">
        <f t="shared" si="9"/>
        <v>2016000000</v>
      </c>
      <c r="J75" s="53">
        <f t="shared" si="10"/>
        <v>0</v>
      </c>
      <c r="K75" s="53">
        <f t="shared" si="11"/>
        <v>2016000000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671</v>
      </c>
      <c r="H76" s="36">
        <f t="shared" si="8"/>
        <v>1</v>
      </c>
      <c r="I76" s="11">
        <f t="shared" si="9"/>
        <v>2010000000</v>
      </c>
      <c r="J76" s="53">
        <f t="shared" si="10"/>
        <v>0</v>
      </c>
      <c r="K76" s="53">
        <f t="shared" si="11"/>
        <v>2010000000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670</v>
      </c>
      <c r="H77" s="36">
        <f t="shared" si="8"/>
        <v>1</v>
      </c>
      <c r="I77" s="11">
        <f t="shared" si="9"/>
        <v>2007000000</v>
      </c>
      <c r="J77" s="53">
        <f t="shared" si="10"/>
        <v>0</v>
      </c>
      <c r="K77" s="53">
        <f t="shared" si="11"/>
        <v>2007000000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669</v>
      </c>
      <c r="H78" s="36">
        <f t="shared" si="8"/>
        <v>0</v>
      </c>
      <c r="I78" s="11">
        <f t="shared" si="9"/>
        <v>-2140800000</v>
      </c>
      <c r="J78" s="53">
        <f t="shared" si="10"/>
        <v>-2140800000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668</v>
      </c>
      <c r="H79" s="36">
        <f t="shared" si="8"/>
        <v>0</v>
      </c>
      <c r="I79" s="11">
        <f t="shared" si="9"/>
        <v>-534400000</v>
      </c>
      <c r="J79" s="53">
        <f t="shared" si="10"/>
        <v>-534400000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667</v>
      </c>
      <c r="H80" s="36">
        <f t="shared" si="8"/>
        <v>0</v>
      </c>
      <c r="I80" s="11">
        <f t="shared" si="9"/>
        <v>-32278131</v>
      </c>
      <c r="J80" s="53">
        <f t="shared" si="10"/>
        <v>0</v>
      </c>
      <c r="K80" s="53">
        <f t="shared" si="11"/>
        <v>-32278131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666</v>
      </c>
      <c r="H81" s="36">
        <f t="shared" si="8"/>
        <v>0</v>
      </c>
      <c r="I81" s="11">
        <f t="shared" si="9"/>
        <v>-93240000</v>
      </c>
      <c r="J81" s="53">
        <f t="shared" si="10"/>
        <v>0</v>
      </c>
      <c r="K81" s="53">
        <f t="shared" si="11"/>
        <v>-93240000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665</v>
      </c>
      <c r="H82" s="36">
        <f t="shared" si="8"/>
        <v>0</v>
      </c>
      <c r="I82" s="11">
        <f t="shared" si="9"/>
        <v>-166250000</v>
      </c>
      <c r="J82" s="53">
        <f t="shared" si="10"/>
        <v>0</v>
      </c>
      <c r="K82" s="53">
        <f t="shared" si="11"/>
        <v>-166250000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664</v>
      </c>
      <c r="H83" s="36">
        <f t="shared" si="8"/>
        <v>0</v>
      </c>
      <c r="I83" s="11">
        <f t="shared" si="9"/>
        <v>-132800000</v>
      </c>
      <c r="J83" s="53">
        <f t="shared" si="10"/>
        <v>0</v>
      </c>
      <c r="K83" s="53">
        <f t="shared" si="11"/>
        <v>-132800000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661</v>
      </c>
      <c r="H84" s="36">
        <f t="shared" si="8"/>
        <v>1</v>
      </c>
      <c r="I84" s="11">
        <f t="shared" si="9"/>
        <v>1079232000</v>
      </c>
      <c r="J84" s="53">
        <f t="shared" si="10"/>
        <v>0</v>
      </c>
      <c r="K84" s="53">
        <f t="shared" si="11"/>
        <v>1079232000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657</v>
      </c>
      <c r="H85" s="36">
        <f t="shared" si="8"/>
        <v>1</v>
      </c>
      <c r="I85" s="11">
        <f t="shared" si="9"/>
        <v>1640000000</v>
      </c>
      <c r="J85" s="53">
        <f t="shared" si="10"/>
        <v>0</v>
      </c>
      <c r="K85" s="53">
        <f t="shared" si="11"/>
        <v>1640000000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653</v>
      </c>
      <c r="H86" s="36">
        <f t="shared" si="8"/>
        <v>1</v>
      </c>
      <c r="I86" s="11">
        <f t="shared" si="9"/>
        <v>121467600</v>
      </c>
      <c r="J86" s="53">
        <f t="shared" si="10"/>
        <v>55387400</v>
      </c>
      <c r="K86" s="53">
        <f t="shared" si="11"/>
        <v>66080200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650</v>
      </c>
      <c r="H87" s="36">
        <f t="shared" si="8"/>
        <v>0</v>
      </c>
      <c r="I87" s="11">
        <f t="shared" si="9"/>
        <v>-130000000</v>
      </c>
      <c r="J87" s="53">
        <f t="shared" si="10"/>
        <v>0</v>
      </c>
      <c r="K87" s="53">
        <f t="shared" si="11"/>
        <v>-130000000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649</v>
      </c>
      <c r="H88" s="36">
        <f t="shared" si="8"/>
        <v>0</v>
      </c>
      <c r="I88" s="11">
        <f t="shared" si="9"/>
        <v>-76582000</v>
      </c>
      <c r="J88" s="53">
        <f t="shared" si="10"/>
        <v>-44781000</v>
      </c>
      <c r="K88" s="53">
        <f t="shared" si="11"/>
        <v>-31801000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641</v>
      </c>
      <c r="H89" s="36">
        <f t="shared" si="8"/>
        <v>0</v>
      </c>
      <c r="I89" s="11">
        <f t="shared" si="9"/>
        <v>-2051776900</v>
      </c>
      <c r="J89" s="53">
        <f t="shared" si="10"/>
        <v>0</v>
      </c>
      <c r="K89" s="53">
        <f t="shared" si="11"/>
        <v>-2051776900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640</v>
      </c>
      <c r="H90" s="36">
        <f t="shared" si="8"/>
        <v>0</v>
      </c>
      <c r="I90" s="11">
        <f t="shared" si="9"/>
        <v>-2048576000</v>
      </c>
      <c r="J90" s="53">
        <f t="shared" si="10"/>
        <v>0</v>
      </c>
      <c r="K90" s="53">
        <f t="shared" si="11"/>
        <v>-2048576000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639</v>
      </c>
      <c r="H91" s="36">
        <f t="shared" si="8"/>
        <v>0</v>
      </c>
      <c r="I91" s="11">
        <f t="shared" si="9"/>
        <v>-2045375100</v>
      </c>
      <c r="J91" s="53">
        <f t="shared" si="10"/>
        <v>0</v>
      </c>
      <c r="K91" s="53">
        <f t="shared" si="11"/>
        <v>-2045375100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638</v>
      </c>
      <c r="H92" s="36">
        <f t="shared" si="8"/>
        <v>0</v>
      </c>
      <c r="I92" s="11">
        <f t="shared" si="9"/>
        <v>-2042174200</v>
      </c>
      <c r="J92" s="53">
        <f t="shared" si="10"/>
        <v>0</v>
      </c>
      <c r="K92" s="53">
        <f t="shared" si="11"/>
        <v>-2042174200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637</v>
      </c>
      <c r="H93" s="36">
        <f t="shared" si="8"/>
        <v>0</v>
      </c>
      <c r="I93" s="11">
        <f t="shared" si="9"/>
        <v>-2038973300</v>
      </c>
      <c r="J93" s="53">
        <f t="shared" si="10"/>
        <v>0</v>
      </c>
      <c r="K93" s="53">
        <f t="shared" si="11"/>
        <v>-2038973300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636</v>
      </c>
      <c r="H94" s="36">
        <f t="shared" si="8"/>
        <v>0</v>
      </c>
      <c r="I94" s="11">
        <f t="shared" si="9"/>
        <v>-2035772400</v>
      </c>
      <c r="J94" s="53">
        <f t="shared" si="10"/>
        <v>0</v>
      </c>
      <c r="K94" s="53">
        <f t="shared" si="11"/>
        <v>-2035772400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634</v>
      </c>
      <c r="H95" s="36">
        <f t="shared" si="8"/>
        <v>0</v>
      </c>
      <c r="I95" s="11">
        <f t="shared" si="9"/>
        <v>-758641864</v>
      </c>
      <c r="J95" s="53">
        <f t="shared" si="10"/>
        <v>0</v>
      </c>
      <c r="K95" s="53">
        <f t="shared" si="11"/>
        <v>-758641864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624</v>
      </c>
      <c r="H96" s="36">
        <f t="shared" si="8"/>
        <v>0</v>
      </c>
      <c r="I96" s="11">
        <f t="shared" si="9"/>
        <v>-124800000</v>
      </c>
      <c r="J96" s="53">
        <f t="shared" si="10"/>
        <v>0</v>
      </c>
      <c r="K96" s="53">
        <f t="shared" si="11"/>
        <v>-124800000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623</v>
      </c>
      <c r="H97" s="36">
        <f t="shared" si="8"/>
        <v>1</v>
      </c>
      <c r="I97" s="11">
        <f t="shared" si="9"/>
        <v>99245076</v>
      </c>
      <c r="J97" s="53">
        <f t="shared" si="10"/>
        <v>42871972</v>
      </c>
      <c r="K97" s="53">
        <f t="shared" si="11"/>
        <v>56373104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618</v>
      </c>
      <c r="H98" s="36">
        <f t="shared" si="8"/>
        <v>1</v>
      </c>
      <c r="I98" s="11">
        <f t="shared" si="9"/>
        <v>70565056</v>
      </c>
      <c r="J98" s="53">
        <f t="shared" si="10"/>
        <v>0</v>
      </c>
      <c r="K98" s="53">
        <f t="shared" si="11"/>
        <v>70565056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615</v>
      </c>
      <c r="H99" s="36">
        <f t="shared" si="8"/>
        <v>0</v>
      </c>
      <c r="I99" s="11">
        <f t="shared" si="9"/>
        <v>-814875000</v>
      </c>
      <c r="J99" s="53">
        <f t="shared" si="10"/>
        <v>0</v>
      </c>
      <c r="K99" s="53">
        <f t="shared" si="11"/>
        <v>-814875000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610</v>
      </c>
      <c r="H100" s="36">
        <f t="shared" si="8"/>
        <v>1</v>
      </c>
      <c r="I100" s="11">
        <f t="shared" si="9"/>
        <v>806925000</v>
      </c>
      <c r="J100" s="53">
        <f t="shared" si="10"/>
        <v>0</v>
      </c>
      <c r="K100" s="53">
        <f t="shared" si="11"/>
        <v>806925000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593</v>
      </c>
      <c r="H101" s="36">
        <f t="shared" si="8"/>
        <v>1</v>
      </c>
      <c r="I101" s="11">
        <f t="shared" si="9"/>
        <v>39572240</v>
      </c>
      <c r="J101" s="53">
        <f t="shared" si="10"/>
        <v>39572240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590</v>
      </c>
      <c r="H102" s="36">
        <f t="shared" si="8"/>
        <v>1</v>
      </c>
      <c r="I102" s="11">
        <f t="shared" si="9"/>
        <v>1767000000</v>
      </c>
      <c r="J102" s="53">
        <f t="shared" si="10"/>
        <v>0</v>
      </c>
      <c r="K102" s="53">
        <f t="shared" si="11"/>
        <v>1767000000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583</v>
      </c>
      <c r="H103" s="36">
        <f t="shared" si="8"/>
        <v>0</v>
      </c>
      <c r="I103" s="11">
        <f t="shared" si="9"/>
        <v>-583000000</v>
      </c>
      <c r="J103" s="53">
        <f t="shared" si="10"/>
        <v>-583000000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573</v>
      </c>
      <c r="H104" s="36">
        <f t="shared" si="8"/>
        <v>1</v>
      </c>
      <c r="I104" s="11">
        <f t="shared" si="9"/>
        <v>1716000000</v>
      </c>
      <c r="J104" s="53">
        <f t="shared" si="10"/>
        <v>1716000000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572</v>
      </c>
      <c r="H105" s="36">
        <f t="shared" si="8"/>
        <v>1</v>
      </c>
      <c r="I105" s="11">
        <f t="shared" si="9"/>
        <v>639520000</v>
      </c>
      <c r="J105" s="53">
        <f t="shared" si="10"/>
        <v>639520000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572</v>
      </c>
      <c r="H106" s="36">
        <f t="shared" si="8"/>
        <v>0</v>
      </c>
      <c r="I106" s="11">
        <f t="shared" si="9"/>
        <v>-1716000000</v>
      </c>
      <c r="J106" s="53">
        <f t="shared" si="10"/>
        <v>0</v>
      </c>
      <c r="K106" s="53">
        <f t="shared" si="11"/>
        <v>-1716000000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563</v>
      </c>
      <c r="H107" s="36">
        <f t="shared" si="8"/>
        <v>1</v>
      </c>
      <c r="I107" s="11">
        <f t="shared" si="9"/>
        <v>50857628</v>
      </c>
      <c r="J107" s="53">
        <f t="shared" si="10"/>
        <v>42214630</v>
      </c>
      <c r="K107" s="53">
        <f t="shared" si="11"/>
        <v>8642998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561</v>
      </c>
      <c r="H108" s="36">
        <f t="shared" si="8"/>
        <v>0</v>
      </c>
      <c r="I108" s="11">
        <f t="shared" si="9"/>
        <v>-954092700</v>
      </c>
      <c r="J108" s="53">
        <f t="shared" si="10"/>
        <v>0</v>
      </c>
      <c r="K108" s="53">
        <f t="shared" si="11"/>
        <v>-954092700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557</v>
      </c>
      <c r="H109" s="36">
        <f t="shared" si="8"/>
        <v>0</v>
      </c>
      <c r="I109" s="11">
        <f t="shared" si="9"/>
        <v>-557278500</v>
      </c>
      <c r="J109" s="53">
        <f t="shared" si="10"/>
        <v>0</v>
      </c>
      <c r="K109" s="53">
        <f t="shared" si="11"/>
        <v>-557278500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554</v>
      </c>
      <c r="H110" s="36">
        <f t="shared" si="8"/>
        <v>1</v>
      </c>
      <c r="I110" s="11">
        <f t="shared" si="9"/>
        <v>11060000000</v>
      </c>
      <c r="J110" s="53">
        <f t="shared" si="10"/>
        <v>0</v>
      </c>
      <c r="K110" s="53">
        <f t="shared" si="11"/>
        <v>11060000000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534</v>
      </c>
      <c r="H111" s="36">
        <f t="shared" si="8"/>
        <v>1</v>
      </c>
      <c r="I111" s="11">
        <f t="shared" si="9"/>
        <v>93103374</v>
      </c>
      <c r="J111" s="53">
        <f t="shared" si="10"/>
        <v>46564479</v>
      </c>
      <c r="K111" s="53">
        <f t="shared" si="11"/>
        <v>46538895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518</v>
      </c>
      <c r="H112" s="36">
        <f t="shared" si="8"/>
        <v>0</v>
      </c>
      <c r="I112" s="11">
        <f t="shared" si="9"/>
        <v>-14711200000</v>
      </c>
      <c r="J112" s="53">
        <f t="shared" si="10"/>
        <v>0</v>
      </c>
      <c r="K112" s="53">
        <f t="shared" si="11"/>
        <v>-14711200000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503</v>
      </c>
      <c r="H113" s="36">
        <f t="shared" si="8"/>
        <v>1</v>
      </c>
      <c r="I113" s="11">
        <f t="shared" si="9"/>
        <v>81846080</v>
      </c>
      <c r="J113" s="53">
        <f t="shared" si="10"/>
        <v>61500522</v>
      </c>
      <c r="K113" s="53">
        <f t="shared" si="11"/>
        <v>20345558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503</v>
      </c>
      <c r="H114" s="36">
        <f t="shared" si="8"/>
        <v>0</v>
      </c>
      <c r="I114" s="11">
        <f t="shared" si="9"/>
        <v>-2867100</v>
      </c>
      <c r="J114" s="53">
        <f t="shared" si="10"/>
        <v>-1257500</v>
      </c>
      <c r="K114" s="53">
        <f t="shared" si="11"/>
        <v>-1609600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490</v>
      </c>
      <c r="H115" s="36">
        <f t="shared" si="8"/>
        <v>0</v>
      </c>
      <c r="I115" s="11">
        <f t="shared" si="9"/>
        <v>0</v>
      </c>
      <c r="J115" s="53">
        <f t="shared" si="10"/>
        <v>245000000</v>
      </c>
      <c r="K115" s="53">
        <f t="shared" si="11"/>
        <v>-245000000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482</v>
      </c>
      <c r="H116" s="36">
        <f t="shared" si="8"/>
        <v>0</v>
      </c>
      <c r="I116" s="11">
        <f t="shared" si="9"/>
        <v>-77120000</v>
      </c>
      <c r="J116" s="53">
        <f t="shared" si="10"/>
        <v>0</v>
      </c>
      <c r="K116" s="53">
        <f t="shared" si="11"/>
        <v>-77120000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473</v>
      </c>
      <c r="H117" s="36">
        <f t="shared" si="8"/>
        <v>1</v>
      </c>
      <c r="I117" s="11">
        <f t="shared" si="9"/>
        <v>698560</v>
      </c>
      <c r="J117" s="53">
        <f t="shared" si="10"/>
        <v>50476152</v>
      </c>
      <c r="K117" s="53">
        <f t="shared" si="11"/>
        <v>-49777592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451</v>
      </c>
      <c r="H118" s="36">
        <f t="shared" si="8"/>
        <v>1</v>
      </c>
      <c r="I118" s="11">
        <f t="shared" si="9"/>
        <v>17729775000</v>
      </c>
      <c r="J118" s="53">
        <f t="shared" si="10"/>
        <v>0</v>
      </c>
      <c r="K118" s="53">
        <f t="shared" si="11"/>
        <v>17729775000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442</v>
      </c>
      <c r="H119" s="36">
        <f t="shared" si="8"/>
        <v>1</v>
      </c>
      <c r="I119" s="11">
        <f t="shared" si="9"/>
        <v>42124761</v>
      </c>
      <c r="J119" s="53">
        <f t="shared" si="10"/>
        <v>48533814</v>
      </c>
      <c r="K119" s="53">
        <f t="shared" si="11"/>
        <v>-6409053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438</v>
      </c>
      <c r="H120" s="11">
        <f t="shared" si="8"/>
        <v>1</v>
      </c>
      <c r="I120" s="11">
        <f t="shared" ref="I120:I206" si="13">B120*(G120-H120)</f>
        <v>874000000</v>
      </c>
      <c r="J120" s="11">
        <f t="shared" si="10"/>
        <v>0</v>
      </c>
      <c r="K120" s="11">
        <f t="shared" si="11"/>
        <v>874000000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412</v>
      </c>
      <c r="H121" s="11">
        <f t="shared" si="8"/>
        <v>1</v>
      </c>
      <c r="I121" s="11">
        <f t="shared" si="13"/>
        <v>1068600000</v>
      </c>
      <c r="J121" s="11">
        <f t="shared" si="10"/>
        <v>0</v>
      </c>
      <c r="K121" s="11">
        <f t="shared" si="11"/>
        <v>1068600000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411</v>
      </c>
      <c r="H122" s="11">
        <f t="shared" si="8"/>
        <v>1</v>
      </c>
      <c r="I122" s="11">
        <f t="shared" si="13"/>
        <v>157665910</v>
      </c>
      <c r="J122" s="11">
        <f t="shared" si="10"/>
        <v>45472280</v>
      </c>
      <c r="K122" s="11">
        <f t="shared" si="11"/>
        <v>112193630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410</v>
      </c>
      <c r="H123" s="11">
        <f t="shared" si="8"/>
        <v>0</v>
      </c>
      <c r="I123" s="11">
        <f t="shared" si="13"/>
        <v>0</v>
      </c>
      <c r="J123" s="11">
        <f t="shared" si="10"/>
        <v>328000000</v>
      </c>
      <c r="K123" s="11">
        <f t="shared" si="11"/>
        <v>-328000000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396</v>
      </c>
      <c r="H124" s="11">
        <f t="shared" si="8"/>
        <v>0</v>
      </c>
      <c r="I124" s="11">
        <f t="shared" si="13"/>
        <v>-1188000000</v>
      </c>
      <c r="J124" s="11">
        <f t="shared" si="10"/>
        <v>0</v>
      </c>
      <c r="K124" s="11">
        <f t="shared" si="11"/>
        <v>-1188000000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381</v>
      </c>
      <c r="H125" s="11">
        <f t="shared" si="8"/>
        <v>1</v>
      </c>
      <c r="I125" s="11">
        <f t="shared" si="13"/>
        <v>152269800</v>
      </c>
      <c r="J125" s="11">
        <f t="shared" si="10"/>
        <v>45172500</v>
      </c>
      <c r="K125" s="11">
        <f t="shared" si="11"/>
        <v>107097300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381</v>
      </c>
      <c r="H126" s="11">
        <f t="shared" si="8"/>
        <v>1</v>
      </c>
      <c r="I126" s="11">
        <f t="shared" si="13"/>
        <v>15960000000</v>
      </c>
      <c r="J126" s="11">
        <f t="shared" si="10"/>
        <v>0</v>
      </c>
      <c r="K126" s="11">
        <f t="shared" si="11"/>
        <v>15960000000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356</v>
      </c>
      <c r="H127" s="11">
        <f t="shared" si="8"/>
        <v>0</v>
      </c>
      <c r="I127" s="11">
        <f t="shared" si="13"/>
        <v>-1780000</v>
      </c>
      <c r="J127" s="11">
        <f t="shared" si="10"/>
        <v>0</v>
      </c>
      <c r="K127" s="11">
        <f t="shared" si="11"/>
        <v>-1780000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350</v>
      </c>
      <c r="H128" s="11">
        <f t="shared" si="8"/>
        <v>1</v>
      </c>
      <c r="I128" s="11">
        <f t="shared" si="13"/>
        <v>269209526</v>
      </c>
      <c r="J128" s="11">
        <f t="shared" si="10"/>
        <v>42123253</v>
      </c>
      <c r="K128" s="11">
        <f t="shared" si="11"/>
        <v>227086273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347</v>
      </c>
      <c r="H129" s="11">
        <f t="shared" si="8"/>
        <v>1</v>
      </c>
      <c r="I129" s="11">
        <f t="shared" si="13"/>
        <v>865000000</v>
      </c>
      <c r="J129" s="11">
        <f t="shared" si="10"/>
        <v>0</v>
      </c>
      <c r="K129" s="11">
        <f t="shared" si="11"/>
        <v>865000000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333</v>
      </c>
      <c r="H130" s="11">
        <f t="shared" si="8"/>
        <v>0</v>
      </c>
      <c r="I130" s="11">
        <f t="shared" si="13"/>
        <v>-333000000</v>
      </c>
      <c r="J130" s="11">
        <f t="shared" si="10"/>
        <v>-333000000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328</v>
      </c>
      <c r="H131" s="11">
        <f t="shared" si="8"/>
        <v>0</v>
      </c>
      <c r="I131" s="11">
        <f t="shared" si="13"/>
        <v>-16400000000</v>
      </c>
      <c r="J131" s="11">
        <f t="shared" si="10"/>
        <v>0</v>
      </c>
      <c r="K131" s="11">
        <f t="shared" si="11"/>
        <v>-16400000000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320</v>
      </c>
      <c r="H132" s="11">
        <f t="shared" ref="H132:H206" si="15">IF(B132&gt;0,1,0)</f>
        <v>1</v>
      </c>
      <c r="I132" s="11">
        <f t="shared" si="13"/>
        <v>195957553</v>
      </c>
      <c r="J132" s="11">
        <f t="shared" ref="J132:J206" si="16">C132*(G132-H132)</f>
        <v>33804749</v>
      </c>
      <c r="K132" s="11">
        <f t="shared" ref="K132:K206" si="17">D132*(G132-H132)</f>
        <v>162152804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316</v>
      </c>
      <c r="H133" s="11">
        <f t="shared" si="15"/>
        <v>0</v>
      </c>
      <c r="I133" s="11">
        <f t="shared" si="13"/>
        <v>-382581200</v>
      </c>
      <c r="J133" s="11">
        <f t="shared" si="16"/>
        <v>0</v>
      </c>
      <c r="K133" s="11">
        <f t="shared" si="17"/>
        <v>-382581200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307</v>
      </c>
      <c r="H134" s="11">
        <f t="shared" si="15"/>
        <v>0</v>
      </c>
      <c r="I134" s="11">
        <f t="shared" si="13"/>
        <v>-19955000</v>
      </c>
      <c r="J134" s="11">
        <f t="shared" si="16"/>
        <v>0</v>
      </c>
      <c r="K134" s="11">
        <f t="shared" si="17"/>
        <v>-19955000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307</v>
      </c>
      <c r="H135" s="11">
        <f t="shared" si="15"/>
        <v>0</v>
      </c>
      <c r="I135" s="11">
        <f t="shared" si="13"/>
        <v>-9916100</v>
      </c>
      <c r="J135" s="11">
        <f t="shared" si="16"/>
        <v>0</v>
      </c>
      <c r="K135" s="11">
        <f t="shared" si="17"/>
        <v>-9916100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299</v>
      </c>
      <c r="H136" s="11">
        <f t="shared" si="15"/>
        <v>0</v>
      </c>
      <c r="I136" s="11">
        <f t="shared" si="13"/>
        <v>-299000000</v>
      </c>
      <c r="J136" s="11">
        <f t="shared" si="16"/>
        <v>-299000000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290</v>
      </c>
      <c r="H137" s="11">
        <f t="shared" si="15"/>
        <v>1</v>
      </c>
      <c r="I137" s="11">
        <f t="shared" si="13"/>
        <v>84062297</v>
      </c>
      <c r="J137" s="11">
        <f t="shared" si="16"/>
        <v>28136751</v>
      </c>
      <c r="K137" s="11">
        <f t="shared" si="17"/>
        <v>55925546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273</v>
      </c>
      <c r="H138" s="11">
        <f t="shared" si="15"/>
        <v>0</v>
      </c>
      <c r="I138" s="11">
        <f t="shared" si="13"/>
        <v>-273136500</v>
      </c>
      <c r="J138" s="11">
        <f t="shared" si="16"/>
        <v>-273136500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261</v>
      </c>
      <c r="H139" s="11">
        <f t="shared" si="15"/>
        <v>1</v>
      </c>
      <c r="I139" s="11">
        <f t="shared" si="13"/>
        <v>73382400</v>
      </c>
      <c r="J139" s="11">
        <f t="shared" si="16"/>
        <v>23089820</v>
      </c>
      <c r="K139" s="11">
        <f t="shared" si="17"/>
        <v>50292580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258</v>
      </c>
      <c r="H140" s="11">
        <f t="shared" si="15"/>
        <v>1</v>
      </c>
      <c r="I140" s="11">
        <f t="shared" si="13"/>
        <v>385500000</v>
      </c>
      <c r="J140" s="11">
        <f t="shared" si="16"/>
        <v>0</v>
      </c>
      <c r="K140" s="11">
        <f t="shared" si="17"/>
        <v>385500000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245</v>
      </c>
      <c r="H141" s="11">
        <f t="shared" si="15"/>
        <v>0</v>
      </c>
      <c r="I141" s="11">
        <f t="shared" si="13"/>
        <v>0</v>
      </c>
      <c r="J141" s="11">
        <f t="shared" si="16"/>
        <v>-245000000</v>
      </c>
      <c r="K141" s="11">
        <f t="shared" si="17"/>
        <v>245000000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231</v>
      </c>
      <c r="H142" s="11">
        <f t="shared" si="15"/>
        <v>1</v>
      </c>
      <c r="I142" s="11">
        <f t="shared" si="13"/>
        <v>66905390</v>
      </c>
      <c r="J142" s="11">
        <f t="shared" si="16"/>
        <v>18635060</v>
      </c>
      <c r="K142" s="11">
        <f t="shared" si="17"/>
        <v>48270330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211</v>
      </c>
      <c r="H143" s="11">
        <f t="shared" si="15"/>
        <v>0</v>
      </c>
      <c r="I143" s="11">
        <f t="shared" si="13"/>
        <v>0</v>
      </c>
      <c r="J143" s="11">
        <f t="shared" si="16"/>
        <v>-211000000</v>
      </c>
      <c r="K143" s="11">
        <f t="shared" si="17"/>
        <v>211000000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201</v>
      </c>
      <c r="H144" s="11">
        <f t="shared" si="15"/>
        <v>1</v>
      </c>
      <c r="I144" s="11">
        <f t="shared" si="13"/>
        <v>58970400</v>
      </c>
      <c r="J144" s="11">
        <f t="shared" si="16"/>
        <v>14931400</v>
      </c>
      <c r="K144" s="11">
        <f t="shared" si="17"/>
        <v>44039000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186</v>
      </c>
      <c r="H145" s="11">
        <f t="shared" si="15"/>
        <v>0</v>
      </c>
      <c r="I145" s="11">
        <f t="shared" si="13"/>
        <v>-1860000</v>
      </c>
      <c r="J145" s="11">
        <f t="shared" si="16"/>
        <v>-930000</v>
      </c>
      <c r="K145" s="11">
        <f t="shared" si="17"/>
        <v>-930000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181</v>
      </c>
      <c r="H146" s="11">
        <f t="shared" si="15"/>
        <v>0</v>
      </c>
      <c r="I146" s="11">
        <f t="shared" si="13"/>
        <v>-181090500</v>
      </c>
      <c r="J146" s="11">
        <f t="shared" si="16"/>
        <v>-181090500</v>
      </c>
      <c r="K146" s="11">
        <f t="shared" si="17"/>
        <v>0</v>
      </c>
    </row>
    <row r="147" spans="1:11" x14ac:dyDescent="0.25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175</v>
      </c>
      <c r="H147" s="11">
        <f t="shared" si="15"/>
        <v>0</v>
      </c>
      <c r="I147" s="11">
        <f t="shared" si="13"/>
        <v>-4725000000</v>
      </c>
      <c r="J147" s="11">
        <f t="shared" si="16"/>
        <v>0</v>
      </c>
      <c r="K147" s="11">
        <f t="shared" si="17"/>
        <v>-4725000000</v>
      </c>
    </row>
    <row r="148" spans="1:11" x14ac:dyDescent="0.25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172</v>
      </c>
      <c r="H148" s="11">
        <f t="shared" si="15"/>
        <v>1</v>
      </c>
      <c r="I148" s="11">
        <f t="shared" si="13"/>
        <v>43166556</v>
      </c>
      <c r="J148" s="11">
        <f t="shared" si="16"/>
        <v>11202210</v>
      </c>
      <c r="K148" s="11">
        <f t="shared" si="17"/>
        <v>31964346</v>
      </c>
    </row>
    <row r="149" spans="1:11" x14ac:dyDescent="0.25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164</v>
      </c>
      <c r="H149" s="11">
        <f t="shared" si="15"/>
        <v>1</v>
      </c>
      <c r="I149" s="11">
        <f t="shared" si="13"/>
        <v>8541200000</v>
      </c>
      <c r="J149" s="11">
        <f t="shared" si="16"/>
        <v>0</v>
      </c>
      <c r="K149" s="11">
        <f t="shared" si="17"/>
        <v>8541200000</v>
      </c>
    </row>
    <row r="150" spans="1:11" x14ac:dyDescent="0.25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157</v>
      </c>
      <c r="H150" s="11">
        <f t="shared" si="15"/>
        <v>0</v>
      </c>
      <c r="I150" s="11">
        <f t="shared" si="13"/>
        <v>-8164000000</v>
      </c>
      <c r="J150" s="11">
        <f t="shared" si="16"/>
        <v>0</v>
      </c>
      <c r="K150" s="11">
        <f t="shared" si="17"/>
        <v>-8164000000</v>
      </c>
    </row>
    <row r="151" spans="1:11" x14ac:dyDescent="0.25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152</v>
      </c>
      <c r="H151" s="103">
        <f t="shared" si="15"/>
        <v>0</v>
      </c>
      <c r="I151" s="103">
        <f t="shared" si="13"/>
        <v>-1216000000</v>
      </c>
      <c r="J151" s="103">
        <f t="shared" si="16"/>
        <v>-1029363912</v>
      </c>
      <c r="K151" s="11">
        <f t="shared" si="17"/>
        <v>-186636088</v>
      </c>
    </row>
    <row r="152" spans="1:11" x14ac:dyDescent="0.25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152</v>
      </c>
      <c r="H152" s="103">
        <f t="shared" si="15"/>
        <v>0</v>
      </c>
      <c r="I152" s="103">
        <f t="shared" si="13"/>
        <v>-4746960</v>
      </c>
      <c r="J152" s="103">
        <f t="shared" si="16"/>
        <v>0</v>
      </c>
      <c r="K152" s="103">
        <f t="shared" si="17"/>
        <v>-4746960</v>
      </c>
    </row>
    <row r="153" spans="1:11" x14ac:dyDescent="0.25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141</v>
      </c>
      <c r="H153" s="103">
        <f t="shared" si="15"/>
        <v>1</v>
      </c>
      <c r="I153" s="103">
        <f t="shared" si="13"/>
        <v>18912180</v>
      </c>
      <c r="J153" s="103">
        <f t="shared" si="16"/>
        <v>5758200</v>
      </c>
      <c r="K153" s="103">
        <f t="shared" si="17"/>
        <v>13153980</v>
      </c>
    </row>
    <row r="154" spans="1:11" x14ac:dyDescent="0.25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138</v>
      </c>
      <c r="H154" s="103">
        <f t="shared" si="15"/>
        <v>1</v>
      </c>
      <c r="I154" s="103">
        <f t="shared" si="13"/>
        <v>934899234</v>
      </c>
      <c r="J154" s="103">
        <f t="shared" si="16"/>
        <v>934899234</v>
      </c>
      <c r="K154" s="103">
        <f t="shared" si="17"/>
        <v>0</v>
      </c>
    </row>
    <row r="155" spans="1:11" x14ac:dyDescent="0.25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133</v>
      </c>
      <c r="H155" s="103">
        <f t="shared" si="15"/>
        <v>0</v>
      </c>
      <c r="I155" s="103">
        <f t="shared" si="13"/>
        <v>-26600000</v>
      </c>
      <c r="J155" s="103">
        <f t="shared" si="16"/>
        <v>0</v>
      </c>
      <c r="K155" s="103">
        <f t="shared" si="17"/>
        <v>-26600000</v>
      </c>
    </row>
    <row r="156" spans="1:11" x14ac:dyDescent="0.25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133</v>
      </c>
      <c r="H156" s="103">
        <f t="shared" si="15"/>
        <v>0</v>
      </c>
      <c r="I156" s="103">
        <f t="shared" si="13"/>
        <v>-32962720</v>
      </c>
      <c r="J156" s="103">
        <f t="shared" si="16"/>
        <v>0</v>
      </c>
      <c r="K156" s="103">
        <f t="shared" si="17"/>
        <v>-32962720</v>
      </c>
    </row>
    <row r="157" spans="1:11" x14ac:dyDescent="0.25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132</v>
      </c>
      <c r="H157" s="103">
        <f t="shared" si="15"/>
        <v>0</v>
      </c>
      <c r="I157" s="103">
        <f t="shared" si="13"/>
        <v>-21428880</v>
      </c>
      <c r="J157" s="103">
        <f t="shared" si="16"/>
        <v>0</v>
      </c>
      <c r="K157" s="103">
        <f t="shared" si="17"/>
        <v>-21428880</v>
      </c>
    </row>
    <row r="158" spans="1:11" x14ac:dyDescent="0.25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132</v>
      </c>
      <c r="H158" s="103">
        <f t="shared" si="15"/>
        <v>0</v>
      </c>
      <c r="I158" s="103">
        <f t="shared" si="13"/>
        <v>-396118800</v>
      </c>
      <c r="J158" s="103">
        <f t="shared" si="16"/>
        <v>0</v>
      </c>
      <c r="K158" s="103">
        <f t="shared" si="17"/>
        <v>-396118800</v>
      </c>
    </row>
    <row r="159" spans="1:11" x14ac:dyDescent="0.25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130</v>
      </c>
      <c r="H159" s="103">
        <f t="shared" si="15"/>
        <v>0</v>
      </c>
      <c r="I159" s="103">
        <f t="shared" si="13"/>
        <v>-130065000</v>
      </c>
      <c r="J159" s="103">
        <f t="shared" si="16"/>
        <v>0</v>
      </c>
      <c r="K159" s="103">
        <f t="shared" si="17"/>
        <v>-130065000</v>
      </c>
    </row>
    <row r="160" spans="1:11" x14ac:dyDescent="0.25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126</v>
      </c>
      <c r="H160" s="103">
        <f t="shared" si="15"/>
        <v>0</v>
      </c>
      <c r="I160" s="103">
        <f t="shared" si="13"/>
        <v>-12600000</v>
      </c>
      <c r="J160" s="103">
        <f t="shared" si="16"/>
        <v>0</v>
      </c>
      <c r="K160" s="103">
        <f t="shared" si="17"/>
        <v>-12600000</v>
      </c>
    </row>
    <row r="161" spans="1:13" x14ac:dyDescent="0.25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125</v>
      </c>
      <c r="H161" s="103">
        <f t="shared" si="15"/>
        <v>0</v>
      </c>
      <c r="I161" s="103">
        <f t="shared" si="13"/>
        <v>-250000000</v>
      </c>
      <c r="J161" s="103">
        <f t="shared" si="16"/>
        <v>0</v>
      </c>
      <c r="K161" s="103">
        <f t="shared" si="17"/>
        <v>-250000000</v>
      </c>
    </row>
    <row r="162" spans="1:13" x14ac:dyDescent="0.25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125</v>
      </c>
      <c r="H162" s="103">
        <f t="shared" si="15"/>
        <v>0</v>
      </c>
      <c r="I162" s="103">
        <f t="shared" si="13"/>
        <v>-125062500</v>
      </c>
      <c r="J162" s="103">
        <f t="shared" si="16"/>
        <v>0</v>
      </c>
      <c r="K162" s="103">
        <f t="shared" si="17"/>
        <v>-125062500</v>
      </c>
    </row>
    <row r="163" spans="1:13" x14ac:dyDescent="0.25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122</v>
      </c>
      <c r="H163" s="103">
        <f t="shared" si="15"/>
        <v>0</v>
      </c>
      <c r="I163" s="103">
        <f t="shared" si="13"/>
        <v>-610000</v>
      </c>
      <c r="J163" s="103">
        <f t="shared" si="16"/>
        <v>0</v>
      </c>
      <c r="K163" s="103">
        <f t="shared" si="17"/>
        <v>-610000</v>
      </c>
    </row>
    <row r="164" spans="1:13" x14ac:dyDescent="0.25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112</v>
      </c>
      <c r="H164" s="103">
        <f t="shared" si="15"/>
        <v>1</v>
      </c>
      <c r="I164" s="103">
        <f t="shared" si="13"/>
        <v>333000000</v>
      </c>
      <c r="J164" s="103">
        <f t="shared" si="16"/>
        <v>0</v>
      </c>
      <c r="K164" s="103">
        <f t="shared" si="17"/>
        <v>333000000</v>
      </c>
    </row>
    <row r="165" spans="1:13" x14ac:dyDescent="0.25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111</v>
      </c>
      <c r="H165" s="103">
        <f t="shared" si="15"/>
        <v>1</v>
      </c>
      <c r="I165" s="103">
        <f t="shared" si="13"/>
        <v>330000000</v>
      </c>
      <c r="J165" s="103">
        <f t="shared" si="16"/>
        <v>0</v>
      </c>
      <c r="K165" s="103">
        <f t="shared" si="17"/>
        <v>330000000</v>
      </c>
    </row>
    <row r="166" spans="1:13" x14ac:dyDescent="0.25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110</v>
      </c>
      <c r="H166" s="103">
        <f t="shared" si="15"/>
        <v>1</v>
      </c>
      <c r="I166" s="103">
        <f t="shared" si="13"/>
        <v>2214226</v>
      </c>
      <c r="J166" s="103">
        <f t="shared" si="16"/>
        <v>6522778</v>
      </c>
      <c r="K166" s="103">
        <f t="shared" si="17"/>
        <v>-4308552</v>
      </c>
    </row>
    <row r="167" spans="1:13" x14ac:dyDescent="0.25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105</v>
      </c>
      <c r="H167" s="103">
        <f t="shared" si="15"/>
        <v>0</v>
      </c>
      <c r="I167" s="103">
        <f t="shared" si="13"/>
        <v>-315094500</v>
      </c>
      <c r="J167" s="103">
        <f t="shared" si="16"/>
        <v>0</v>
      </c>
      <c r="K167" s="103">
        <f t="shared" si="17"/>
        <v>-315094500</v>
      </c>
    </row>
    <row r="168" spans="1:13" x14ac:dyDescent="0.25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87</v>
      </c>
      <c r="H168" s="103">
        <f t="shared" si="15"/>
        <v>0</v>
      </c>
      <c r="I168" s="103">
        <f t="shared" si="13"/>
        <v>-261078300</v>
      </c>
      <c r="J168" s="103">
        <f t="shared" si="16"/>
        <v>0</v>
      </c>
      <c r="K168" s="103">
        <f t="shared" si="17"/>
        <v>-261078300</v>
      </c>
      <c r="M168" t="s">
        <v>25</v>
      </c>
    </row>
    <row r="169" spans="1:13" x14ac:dyDescent="0.25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79</v>
      </c>
      <c r="H169" s="103">
        <f t="shared" si="15"/>
        <v>1</v>
      </c>
      <c r="I169" s="103">
        <f t="shared" si="13"/>
        <v>1692990</v>
      </c>
      <c r="J169" s="103">
        <f t="shared" si="16"/>
        <v>5344170</v>
      </c>
      <c r="K169" s="103">
        <f t="shared" si="17"/>
        <v>-3651180</v>
      </c>
    </row>
    <row r="170" spans="1:13" x14ac:dyDescent="0.25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55</v>
      </c>
      <c r="H170" s="103">
        <f t="shared" si="15"/>
        <v>1</v>
      </c>
      <c r="I170" s="103">
        <f t="shared" si="13"/>
        <v>270000000</v>
      </c>
      <c r="J170" s="103">
        <f t="shared" si="16"/>
        <v>0</v>
      </c>
      <c r="K170" s="103">
        <f t="shared" si="17"/>
        <v>270000000</v>
      </c>
    </row>
    <row r="171" spans="1:13" x14ac:dyDescent="0.25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54</v>
      </c>
      <c r="H171" s="103">
        <f t="shared" si="15"/>
        <v>0</v>
      </c>
      <c r="I171" s="103">
        <f t="shared" si="13"/>
        <v>-270000000</v>
      </c>
      <c r="J171" s="103">
        <f t="shared" si="16"/>
        <v>0</v>
      </c>
      <c r="K171" s="103">
        <f t="shared" si="17"/>
        <v>-270000000</v>
      </c>
    </row>
    <row r="172" spans="1:13" x14ac:dyDescent="0.25">
      <c r="A172" s="103" t="s">
        <v>3997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48</v>
      </c>
      <c r="H172" s="103">
        <f t="shared" si="15"/>
        <v>1</v>
      </c>
      <c r="I172" s="103">
        <f t="shared" si="13"/>
        <v>23312</v>
      </c>
      <c r="J172" s="103">
        <f t="shared" si="16"/>
        <v>2946007</v>
      </c>
      <c r="K172" s="103">
        <f t="shared" si="17"/>
        <v>-2922695</v>
      </c>
    </row>
    <row r="173" spans="1:13" x14ac:dyDescent="0.25">
      <c r="A173" s="103" t="s">
        <v>4035</v>
      </c>
      <c r="B173" s="18">
        <v>785000</v>
      </c>
      <c r="C173" s="18">
        <v>0</v>
      </c>
      <c r="D173" s="18">
        <f t="shared" si="18"/>
        <v>785000</v>
      </c>
      <c r="E173" s="103" t="s">
        <v>4036</v>
      </c>
      <c r="F173" s="103">
        <v>11</v>
      </c>
      <c r="G173" s="36">
        <f t="shared" si="14"/>
        <v>47</v>
      </c>
      <c r="H173" s="103">
        <f t="shared" si="15"/>
        <v>1</v>
      </c>
      <c r="I173" s="103">
        <f t="shared" si="13"/>
        <v>36110000</v>
      </c>
      <c r="J173" s="103">
        <f t="shared" si="16"/>
        <v>0</v>
      </c>
      <c r="K173" s="103">
        <f t="shared" si="17"/>
        <v>36110000</v>
      </c>
    </row>
    <row r="174" spans="1:13" x14ac:dyDescent="0.25">
      <c r="A174" s="11" t="s">
        <v>4035</v>
      </c>
      <c r="B174" s="18">
        <v>-32000</v>
      </c>
      <c r="C174" s="18">
        <v>0</v>
      </c>
      <c r="D174" s="18">
        <f t="shared" si="18"/>
        <v>-32000</v>
      </c>
      <c r="E174" s="11" t="s">
        <v>4006</v>
      </c>
      <c r="F174" s="11">
        <v>2</v>
      </c>
      <c r="G174" s="36">
        <f t="shared" si="14"/>
        <v>36</v>
      </c>
      <c r="H174" s="103">
        <f t="shared" si="15"/>
        <v>0</v>
      </c>
      <c r="I174" s="103">
        <f t="shared" si="13"/>
        <v>-1152000</v>
      </c>
      <c r="J174" s="103">
        <f t="shared" si="16"/>
        <v>0</v>
      </c>
      <c r="K174" s="103">
        <f t="shared" si="17"/>
        <v>-1152000</v>
      </c>
    </row>
    <row r="175" spans="1:13" x14ac:dyDescent="0.25">
      <c r="A175" s="103" t="s">
        <v>4037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34</v>
      </c>
      <c r="H175" s="103">
        <f t="shared" si="15"/>
        <v>0</v>
      </c>
      <c r="I175" s="103">
        <f t="shared" si="13"/>
        <v>-25500000</v>
      </c>
      <c r="J175" s="103">
        <f t="shared" si="16"/>
        <v>0</v>
      </c>
      <c r="K175" s="103">
        <f t="shared" si="17"/>
        <v>-25500000</v>
      </c>
    </row>
    <row r="176" spans="1:13" x14ac:dyDescent="0.25">
      <c r="A176" s="103" t="s">
        <v>4076</v>
      </c>
      <c r="B176" s="18">
        <v>-9396</v>
      </c>
      <c r="C176" s="18">
        <v>0</v>
      </c>
      <c r="D176" s="18">
        <f t="shared" si="18"/>
        <v>-9396</v>
      </c>
      <c r="E176" s="103" t="s">
        <v>4077</v>
      </c>
      <c r="F176" s="103">
        <v>1</v>
      </c>
      <c r="G176" s="36">
        <f t="shared" si="14"/>
        <v>25</v>
      </c>
      <c r="H176" s="103">
        <f t="shared" si="15"/>
        <v>0</v>
      </c>
      <c r="I176" s="103">
        <f t="shared" si="13"/>
        <v>-234900</v>
      </c>
      <c r="J176" s="103">
        <f t="shared" si="16"/>
        <v>0</v>
      </c>
      <c r="K176" s="103">
        <f t="shared" si="17"/>
        <v>-234900</v>
      </c>
    </row>
    <row r="177" spans="1:14" x14ac:dyDescent="0.25">
      <c r="A177" s="103" t="s">
        <v>4080</v>
      </c>
      <c r="B177" s="18">
        <v>-43300</v>
      </c>
      <c r="C177" s="18">
        <v>0</v>
      </c>
      <c r="D177" s="18">
        <f t="shared" si="18"/>
        <v>-43300</v>
      </c>
      <c r="E177" s="103" t="s">
        <v>4082</v>
      </c>
      <c r="F177" s="103">
        <v>3</v>
      </c>
      <c r="G177" s="36">
        <f t="shared" si="14"/>
        <v>24</v>
      </c>
      <c r="H177" s="103">
        <f t="shared" si="15"/>
        <v>0</v>
      </c>
      <c r="I177" s="103">
        <f t="shared" si="13"/>
        <v>-1039200</v>
      </c>
      <c r="J177" s="103">
        <f t="shared" si="16"/>
        <v>0</v>
      </c>
      <c r="K177" s="103">
        <f t="shared" si="17"/>
        <v>-1039200</v>
      </c>
    </row>
    <row r="178" spans="1:14" x14ac:dyDescent="0.25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4093</v>
      </c>
      <c r="F178" s="103">
        <v>2</v>
      </c>
      <c r="G178" s="36">
        <f t="shared" si="14"/>
        <v>21</v>
      </c>
      <c r="H178" s="103">
        <f t="shared" si="15"/>
        <v>1</v>
      </c>
      <c r="I178" s="103">
        <f t="shared" si="13"/>
        <v>7200000</v>
      </c>
      <c r="J178" s="103">
        <f t="shared" si="16"/>
        <v>0</v>
      </c>
      <c r="K178" s="103">
        <f t="shared" si="17"/>
        <v>7200000</v>
      </c>
    </row>
    <row r="179" spans="1:14" x14ac:dyDescent="0.25">
      <c r="A179" s="103" t="s">
        <v>4095</v>
      </c>
      <c r="B179" s="18">
        <v>3000000</v>
      </c>
      <c r="C179" s="18">
        <v>0</v>
      </c>
      <c r="D179" s="18">
        <f t="shared" si="18"/>
        <v>3000000</v>
      </c>
      <c r="E179" s="103" t="s">
        <v>4096</v>
      </c>
      <c r="F179" s="103">
        <v>0</v>
      </c>
      <c r="G179" s="36">
        <f t="shared" si="14"/>
        <v>19</v>
      </c>
      <c r="H179" s="103">
        <f t="shared" si="15"/>
        <v>1</v>
      </c>
      <c r="I179" s="103">
        <f t="shared" si="13"/>
        <v>54000000</v>
      </c>
      <c r="J179" s="103">
        <f t="shared" si="16"/>
        <v>0</v>
      </c>
      <c r="K179" s="103">
        <f t="shared" si="17"/>
        <v>54000000</v>
      </c>
    </row>
    <row r="180" spans="1:14" x14ac:dyDescent="0.25">
      <c r="A180" s="103" t="s">
        <v>4095</v>
      </c>
      <c r="B180" s="18">
        <v>-12050</v>
      </c>
      <c r="C180" s="18">
        <v>0</v>
      </c>
      <c r="D180" s="18">
        <f t="shared" si="18"/>
        <v>-12050</v>
      </c>
      <c r="E180" s="103" t="s">
        <v>4077</v>
      </c>
      <c r="F180" s="103">
        <v>2</v>
      </c>
      <c r="G180" s="36">
        <f t="shared" si="14"/>
        <v>19</v>
      </c>
      <c r="H180" s="103">
        <f t="shared" si="15"/>
        <v>0</v>
      </c>
      <c r="I180" s="103">
        <f t="shared" si="13"/>
        <v>-228950</v>
      </c>
      <c r="J180" s="103">
        <f t="shared" si="16"/>
        <v>0</v>
      </c>
      <c r="K180" s="103">
        <f t="shared" si="17"/>
        <v>-228950</v>
      </c>
    </row>
    <row r="181" spans="1:14" x14ac:dyDescent="0.25">
      <c r="A181" s="103" t="s">
        <v>4100</v>
      </c>
      <c r="B181" s="18">
        <v>3000000</v>
      </c>
      <c r="C181" s="18">
        <v>0</v>
      </c>
      <c r="D181" s="18">
        <f t="shared" si="18"/>
        <v>3000000</v>
      </c>
      <c r="E181" s="103" t="s">
        <v>4101</v>
      </c>
      <c r="F181" s="103">
        <v>2</v>
      </c>
      <c r="G181" s="36">
        <f t="shared" si="14"/>
        <v>17</v>
      </c>
      <c r="H181" s="103">
        <f t="shared" si="15"/>
        <v>1</v>
      </c>
      <c r="I181" s="103">
        <f t="shared" si="13"/>
        <v>48000000</v>
      </c>
      <c r="J181" s="103">
        <f t="shared" si="16"/>
        <v>0</v>
      </c>
      <c r="K181" s="103">
        <f t="shared" si="17"/>
        <v>48000000</v>
      </c>
    </row>
    <row r="182" spans="1:14" x14ac:dyDescent="0.25">
      <c r="A182" s="103" t="s">
        <v>4111</v>
      </c>
      <c r="B182" s="18">
        <v>-35800</v>
      </c>
      <c r="C182" s="18">
        <v>0</v>
      </c>
      <c r="D182" s="18">
        <f t="shared" si="18"/>
        <v>-35800</v>
      </c>
      <c r="E182" s="103" t="s">
        <v>4112</v>
      </c>
      <c r="F182" s="103">
        <v>1</v>
      </c>
      <c r="G182" s="36">
        <f t="shared" si="14"/>
        <v>15</v>
      </c>
      <c r="H182" s="103">
        <f t="shared" si="15"/>
        <v>0</v>
      </c>
      <c r="I182" s="103">
        <f t="shared" si="13"/>
        <v>-537000</v>
      </c>
      <c r="J182" s="103">
        <f t="shared" si="16"/>
        <v>0</v>
      </c>
      <c r="K182" s="103">
        <f t="shared" si="17"/>
        <v>-537000</v>
      </c>
      <c r="N182" t="s">
        <v>25</v>
      </c>
    </row>
    <row r="183" spans="1:14" x14ac:dyDescent="0.25">
      <c r="A183" s="103" t="s">
        <v>4110</v>
      </c>
      <c r="B183" s="18">
        <v>3600000</v>
      </c>
      <c r="C183" s="18">
        <v>0</v>
      </c>
      <c r="D183" s="18">
        <f t="shared" si="18"/>
        <v>3600000</v>
      </c>
      <c r="E183" s="103" t="s">
        <v>4113</v>
      </c>
      <c r="F183" s="103">
        <v>0</v>
      </c>
      <c r="G183" s="36">
        <f t="shared" si="14"/>
        <v>14</v>
      </c>
      <c r="H183" s="103">
        <f t="shared" si="15"/>
        <v>1</v>
      </c>
      <c r="I183" s="103">
        <f t="shared" si="13"/>
        <v>46800000</v>
      </c>
      <c r="J183" s="103">
        <f t="shared" si="16"/>
        <v>0</v>
      </c>
      <c r="K183" s="103">
        <f t="shared" si="17"/>
        <v>46800000</v>
      </c>
    </row>
    <row r="184" spans="1:14" x14ac:dyDescent="0.25">
      <c r="A184" s="103" t="s">
        <v>4110</v>
      </c>
      <c r="B184" s="18">
        <v>-33377</v>
      </c>
      <c r="C184" s="18">
        <v>0</v>
      </c>
      <c r="D184" s="18">
        <f t="shared" si="18"/>
        <v>-33377</v>
      </c>
      <c r="E184" s="103" t="s">
        <v>4116</v>
      </c>
      <c r="F184" s="103">
        <v>3</v>
      </c>
      <c r="G184" s="36">
        <f t="shared" si="14"/>
        <v>14</v>
      </c>
      <c r="H184" s="103">
        <f t="shared" si="15"/>
        <v>0</v>
      </c>
      <c r="I184" s="103">
        <f t="shared" si="13"/>
        <v>-467278</v>
      </c>
      <c r="J184" s="103">
        <f t="shared" si="16"/>
        <v>0</v>
      </c>
      <c r="K184" s="103">
        <f t="shared" si="17"/>
        <v>-467278</v>
      </c>
    </row>
    <row r="185" spans="1:14" x14ac:dyDescent="0.25">
      <c r="A185" s="103" t="s">
        <v>4148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11</v>
      </c>
      <c r="H185" s="103">
        <f t="shared" si="15"/>
        <v>0</v>
      </c>
      <c r="I185" s="103">
        <f t="shared" si="13"/>
        <v>-107800000</v>
      </c>
      <c r="J185" s="103">
        <f t="shared" si="16"/>
        <v>0</v>
      </c>
      <c r="K185" s="103">
        <f t="shared" si="17"/>
        <v>-107800000</v>
      </c>
    </row>
    <row r="186" spans="1:14" x14ac:dyDescent="0.25">
      <c r="A186" s="103" t="s">
        <v>4148</v>
      </c>
      <c r="B186" s="18">
        <v>18000000</v>
      </c>
      <c r="C186" s="18">
        <v>0</v>
      </c>
      <c r="D186" s="18">
        <f t="shared" si="18"/>
        <v>18000000</v>
      </c>
      <c r="E186" s="103" t="s">
        <v>4150</v>
      </c>
      <c r="F186" s="103">
        <v>0</v>
      </c>
      <c r="G186" s="36">
        <f t="shared" si="14"/>
        <v>11</v>
      </c>
      <c r="H186" s="103">
        <f t="shared" si="15"/>
        <v>1</v>
      </c>
      <c r="I186" s="103">
        <f t="shared" si="13"/>
        <v>180000000</v>
      </c>
      <c r="J186" s="103">
        <f t="shared" si="16"/>
        <v>0</v>
      </c>
      <c r="K186" s="103">
        <f t="shared" si="17"/>
        <v>180000000</v>
      </c>
    </row>
    <row r="187" spans="1:14" x14ac:dyDescent="0.25">
      <c r="A187" s="103" t="s">
        <v>4148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11</v>
      </c>
      <c r="H187" s="103">
        <f t="shared" si="15"/>
        <v>0</v>
      </c>
      <c r="I187" s="103">
        <f t="shared" si="13"/>
        <v>-99000000</v>
      </c>
      <c r="J187" s="103">
        <f t="shared" si="16"/>
        <v>0</v>
      </c>
      <c r="K187" s="103">
        <f t="shared" si="17"/>
        <v>-99000000</v>
      </c>
    </row>
    <row r="188" spans="1:14" x14ac:dyDescent="0.25">
      <c r="A188" s="103" t="s">
        <v>4148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11</v>
      </c>
      <c r="H188" s="103">
        <f t="shared" si="15"/>
        <v>0</v>
      </c>
      <c r="I188" s="103">
        <f t="shared" si="13"/>
        <v>-127600</v>
      </c>
      <c r="J188" s="103">
        <f t="shared" si="16"/>
        <v>0</v>
      </c>
      <c r="K188" s="103">
        <f t="shared" si="17"/>
        <v>-127600</v>
      </c>
    </row>
    <row r="189" spans="1:14" x14ac:dyDescent="0.25">
      <c r="A189" s="103" t="s">
        <v>4148</v>
      </c>
      <c r="B189" s="18">
        <v>-3304327</v>
      </c>
      <c r="C189" s="18">
        <v>0</v>
      </c>
      <c r="D189" s="18">
        <f t="shared" si="18"/>
        <v>-3304327</v>
      </c>
      <c r="E189" s="103" t="s">
        <v>4153</v>
      </c>
      <c r="F189" s="103">
        <v>1</v>
      </c>
      <c r="G189" s="36">
        <f t="shared" si="14"/>
        <v>11</v>
      </c>
      <c r="H189" s="103">
        <f t="shared" si="15"/>
        <v>0</v>
      </c>
      <c r="I189" s="103">
        <f t="shared" si="13"/>
        <v>-36347597</v>
      </c>
      <c r="J189" s="103">
        <f t="shared" si="16"/>
        <v>0</v>
      </c>
      <c r="K189" s="103">
        <f t="shared" si="17"/>
        <v>-36347597</v>
      </c>
    </row>
    <row r="190" spans="1:14" x14ac:dyDescent="0.25">
      <c r="A190" s="103" t="s">
        <v>4159</v>
      </c>
      <c r="B190" s="18">
        <v>-3000900</v>
      </c>
      <c r="C190" s="18">
        <v>0</v>
      </c>
      <c r="D190" s="18">
        <f t="shared" si="18"/>
        <v>-3000900</v>
      </c>
      <c r="E190" s="103" t="s">
        <v>4160</v>
      </c>
      <c r="F190" s="103">
        <v>1</v>
      </c>
      <c r="G190" s="36">
        <f t="shared" si="14"/>
        <v>10</v>
      </c>
      <c r="H190" s="103">
        <f t="shared" si="15"/>
        <v>0</v>
      </c>
      <c r="I190" s="103">
        <f t="shared" si="13"/>
        <v>-30009000</v>
      </c>
      <c r="J190" s="103">
        <f t="shared" si="16"/>
        <v>0</v>
      </c>
      <c r="K190" s="103">
        <f t="shared" si="17"/>
        <v>-30009000</v>
      </c>
    </row>
    <row r="191" spans="1:14" x14ac:dyDescent="0.25">
      <c r="A191" s="103" t="s">
        <v>4165</v>
      </c>
      <c r="B191" s="18">
        <v>-2760900</v>
      </c>
      <c r="C191" s="18">
        <v>0</v>
      </c>
      <c r="D191" s="18">
        <f t="shared" si="18"/>
        <v>-2760900</v>
      </c>
      <c r="E191" s="103" t="s">
        <v>4166</v>
      </c>
      <c r="F191" s="103">
        <v>5</v>
      </c>
      <c r="G191" s="36">
        <f t="shared" si="14"/>
        <v>9</v>
      </c>
      <c r="H191" s="103">
        <f t="shared" si="15"/>
        <v>0</v>
      </c>
      <c r="I191" s="103">
        <f t="shared" si="13"/>
        <v>-24848100</v>
      </c>
      <c r="J191" s="103">
        <f t="shared" si="16"/>
        <v>0</v>
      </c>
      <c r="K191" s="103">
        <f t="shared" si="17"/>
        <v>-24848100</v>
      </c>
    </row>
    <row r="192" spans="1:14" x14ac:dyDescent="0.25">
      <c r="A192" s="103" t="s">
        <v>4180</v>
      </c>
      <c r="B192" s="18">
        <v>1000000</v>
      </c>
      <c r="C192" s="18">
        <v>0</v>
      </c>
      <c r="D192" s="18">
        <f t="shared" si="18"/>
        <v>1000000</v>
      </c>
      <c r="E192" s="103" t="s">
        <v>4157</v>
      </c>
      <c r="F192" s="103">
        <v>1</v>
      </c>
      <c r="G192" s="36">
        <f t="shared" si="14"/>
        <v>4</v>
      </c>
      <c r="H192" s="103">
        <f t="shared" si="15"/>
        <v>1</v>
      </c>
      <c r="I192" s="103">
        <f t="shared" si="13"/>
        <v>3000000</v>
      </c>
      <c r="J192" s="103">
        <f t="shared" si="16"/>
        <v>0</v>
      </c>
      <c r="K192" s="103">
        <f t="shared" si="17"/>
        <v>3000000</v>
      </c>
    </row>
    <row r="193" spans="1:11" x14ac:dyDescent="0.25">
      <c r="A193" s="103" t="s">
        <v>4200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3</v>
      </c>
      <c r="H193" s="103">
        <f t="shared" si="15"/>
        <v>0</v>
      </c>
      <c r="I193" s="103">
        <f t="shared" si="13"/>
        <v>-45000</v>
      </c>
      <c r="J193" s="103">
        <f t="shared" si="16"/>
        <v>0</v>
      </c>
      <c r="K193" s="103">
        <f t="shared" si="17"/>
        <v>-45000</v>
      </c>
    </row>
    <row r="194" spans="1:11" x14ac:dyDescent="0.25">
      <c r="A194" s="103" t="s">
        <v>4196</v>
      </c>
      <c r="B194" s="18">
        <v>-990000</v>
      </c>
      <c r="C194" s="18">
        <v>0</v>
      </c>
      <c r="D194" s="18">
        <f t="shared" si="18"/>
        <v>-990000</v>
      </c>
      <c r="E194" s="103" t="s">
        <v>3804</v>
      </c>
      <c r="F194" s="103">
        <v>0</v>
      </c>
      <c r="G194" s="36">
        <f t="shared" si="14"/>
        <v>1</v>
      </c>
      <c r="H194" s="103">
        <f t="shared" si="15"/>
        <v>0</v>
      </c>
      <c r="I194" s="103">
        <f t="shared" si="13"/>
        <v>-990000</v>
      </c>
      <c r="J194" s="103">
        <f t="shared" si="16"/>
        <v>0</v>
      </c>
      <c r="K194" s="103">
        <f t="shared" si="17"/>
        <v>-990000</v>
      </c>
    </row>
    <row r="195" spans="1:11" x14ac:dyDescent="0.25">
      <c r="A195" s="103" t="s">
        <v>4196</v>
      </c>
      <c r="B195" s="18">
        <v>783000</v>
      </c>
      <c r="C195" s="18">
        <v>0</v>
      </c>
      <c r="D195" s="18">
        <f t="shared" si="18"/>
        <v>783000</v>
      </c>
      <c r="E195" s="103" t="s">
        <v>4206</v>
      </c>
      <c r="F195" s="103">
        <v>1</v>
      </c>
      <c r="G195" s="36">
        <f t="shared" si="14"/>
        <v>1</v>
      </c>
      <c r="H195" s="103">
        <f t="shared" si="15"/>
        <v>1</v>
      </c>
      <c r="I195" s="103">
        <f t="shared" si="13"/>
        <v>0</v>
      </c>
      <c r="J195" s="103">
        <f t="shared" si="16"/>
        <v>0</v>
      </c>
      <c r="K195" s="103">
        <f t="shared" si="17"/>
        <v>0</v>
      </c>
    </row>
    <row r="196" spans="1:11" x14ac:dyDescent="0.25">
      <c r="A196" s="103"/>
      <c r="B196" s="18"/>
      <c r="C196" s="18"/>
      <c r="D196" s="18">
        <f t="shared" si="18"/>
        <v>0</v>
      </c>
      <c r="E196" s="103"/>
      <c r="F196" s="103"/>
      <c r="G196" s="36">
        <f t="shared" si="14"/>
        <v>0</v>
      </c>
      <c r="H196" s="103">
        <f t="shared" si="15"/>
        <v>0</v>
      </c>
      <c r="I196" s="103">
        <f t="shared" si="13"/>
        <v>0</v>
      </c>
      <c r="J196" s="103">
        <f t="shared" si="16"/>
        <v>0</v>
      </c>
      <c r="K196" s="103">
        <f t="shared" si="17"/>
        <v>0</v>
      </c>
    </row>
    <row r="197" spans="1:11" x14ac:dyDescent="0.25">
      <c r="A197" s="103"/>
      <c r="B197" s="18"/>
      <c r="C197" s="18"/>
      <c r="D197" s="18">
        <f t="shared" si="18"/>
        <v>0</v>
      </c>
      <c r="E197" s="103"/>
      <c r="F197" s="103"/>
      <c r="G197" s="36">
        <f t="shared" si="14"/>
        <v>0</v>
      </c>
      <c r="H197" s="103">
        <f t="shared" si="15"/>
        <v>0</v>
      </c>
      <c r="I197" s="103">
        <f t="shared" si="13"/>
        <v>0</v>
      </c>
      <c r="J197" s="103">
        <f t="shared" si="16"/>
        <v>0</v>
      </c>
      <c r="K197" s="103">
        <f t="shared" si="17"/>
        <v>0</v>
      </c>
    </row>
    <row r="198" spans="1:11" x14ac:dyDescent="0.25">
      <c r="A198" s="103"/>
      <c r="B198" s="18"/>
      <c r="C198" s="18"/>
      <c r="D198" s="18">
        <f t="shared" si="18"/>
        <v>0</v>
      </c>
      <c r="E198" s="103"/>
      <c r="F198" s="103"/>
      <c r="G198" s="36">
        <f t="shared" si="14"/>
        <v>0</v>
      </c>
      <c r="H198" s="103">
        <f t="shared" si="15"/>
        <v>0</v>
      </c>
      <c r="I198" s="103">
        <f t="shared" si="13"/>
        <v>0</v>
      </c>
      <c r="J198" s="103">
        <f t="shared" si="16"/>
        <v>0</v>
      </c>
      <c r="K198" s="103">
        <f t="shared" si="17"/>
        <v>0</v>
      </c>
    </row>
    <row r="199" spans="1:11" x14ac:dyDescent="0.25">
      <c r="A199" s="103" t="s">
        <v>25</v>
      </c>
      <c r="B199" s="18"/>
      <c r="C199" s="18"/>
      <c r="D199" s="18">
        <f t="shared" si="18"/>
        <v>0</v>
      </c>
      <c r="E199" s="103"/>
      <c r="F199" s="103"/>
      <c r="G199" s="36">
        <f t="shared" si="14"/>
        <v>0</v>
      </c>
      <c r="H199" s="103">
        <f t="shared" si="15"/>
        <v>0</v>
      </c>
      <c r="I199" s="103">
        <f t="shared" si="13"/>
        <v>0</v>
      </c>
      <c r="J199" s="103">
        <f t="shared" si="16"/>
        <v>0</v>
      </c>
      <c r="K199" s="103">
        <f t="shared" si="17"/>
        <v>0</v>
      </c>
    </row>
    <row r="200" spans="1:11" x14ac:dyDescent="0.25">
      <c r="A200" s="103"/>
      <c r="B200" s="18"/>
      <c r="C200" s="18"/>
      <c r="D200" s="18">
        <f t="shared" si="18"/>
        <v>0</v>
      </c>
      <c r="E200" s="103"/>
      <c r="F200" s="103"/>
      <c r="G200" s="36">
        <f t="shared" si="14"/>
        <v>0</v>
      </c>
      <c r="H200" s="103">
        <f t="shared" si="15"/>
        <v>0</v>
      </c>
      <c r="I200" s="103">
        <f t="shared" si="13"/>
        <v>0</v>
      </c>
      <c r="J200" s="103">
        <f t="shared" si="16"/>
        <v>0</v>
      </c>
      <c r="K200" s="103">
        <f t="shared" si="17"/>
        <v>0</v>
      </c>
    </row>
    <row r="201" spans="1:11" x14ac:dyDescent="0.25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 x14ac:dyDescent="0.25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 x14ac:dyDescent="0.25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 x14ac:dyDescent="0.25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 x14ac:dyDescent="0.25">
      <c r="A207" s="11"/>
      <c r="B207" s="29">
        <f>SUM(B2:B206)</f>
        <v>790987</v>
      </c>
      <c r="C207" s="29">
        <f>SUM(C2:C205)</f>
        <v>7835443</v>
      </c>
      <c r="D207" s="29">
        <f>SUM(D2:D205)</f>
        <v>-7044456</v>
      </c>
      <c r="E207" s="11"/>
      <c r="F207" s="11"/>
      <c r="G207" s="11"/>
      <c r="H207" s="11"/>
      <c r="I207" s="29">
        <f>SUM(I2:I206)</f>
        <v>18808929896</v>
      </c>
      <c r="J207" s="29">
        <f>SUM(J2:J206)</f>
        <v>7950426528</v>
      </c>
      <c r="K207" s="29">
        <f>SUM(K2:K206)</f>
        <v>10858503368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21349523.150964811</v>
      </c>
      <c r="J210" s="29">
        <f>J207/G2</f>
        <v>9024320.6901248582</v>
      </c>
      <c r="K210" s="29">
        <f>K207/G2</f>
        <v>12325202.460839955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2">
        <f>D207-D151+D152</f>
        <v>-5847817</v>
      </c>
      <c r="G214" t="s">
        <v>25</v>
      </c>
      <c r="J214">
        <f>J207/I207*1448696</f>
        <v>612355.47014596022</v>
      </c>
      <c r="K214">
        <f>K207/I207*1448696</f>
        <v>836340.52985403978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1029</v>
      </c>
    </row>
    <row r="36" spans="4:17" x14ac:dyDescent="0.25">
      <c r="D36" s="42">
        <v>245000</v>
      </c>
      <c r="E36" s="41" t="s">
        <v>1029</v>
      </c>
    </row>
    <row r="37" spans="4:17" x14ac:dyDescent="0.25">
      <c r="D37" s="7">
        <v>-25000</v>
      </c>
      <c r="E37" s="41" t="s">
        <v>1033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1135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1136</v>
      </c>
    </row>
    <row r="37" spans="4:17" x14ac:dyDescent="0.25">
      <c r="D37" s="7">
        <v>-65500</v>
      </c>
      <c r="E37" s="41" t="s">
        <v>1151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1248</v>
      </c>
    </row>
    <row r="51" spans="1:18" x14ac:dyDescent="0.25">
      <c r="D51" s="118">
        <v>1000000</v>
      </c>
      <c r="E51" s="41" t="s">
        <v>1250</v>
      </c>
    </row>
    <row r="52" spans="1:18" x14ac:dyDescent="0.25">
      <c r="D52" s="118">
        <v>910500</v>
      </c>
      <c r="E52" s="41" t="s">
        <v>1261</v>
      </c>
    </row>
    <row r="53" spans="1:18" x14ac:dyDescent="0.25">
      <c r="D53" s="118">
        <v>-300000</v>
      </c>
      <c r="E53" s="41" t="s">
        <v>1264</v>
      </c>
    </row>
    <row r="54" spans="1:18" x14ac:dyDescent="0.25">
      <c r="D54" s="118">
        <v>-58500</v>
      </c>
      <c r="E54" s="41" t="s">
        <v>1265</v>
      </c>
    </row>
    <row r="55" spans="1:18" x14ac:dyDescent="0.25">
      <c r="D55" s="118">
        <v>-1500000</v>
      </c>
      <c r="E55" s="41" t="s">
        <v>1268</v>
      </c>
    </row>
    <row r="56" spans="1:18" x14ac:dyDescent="0.25">
      <c r="D56" s="118">
        <v>-61000</v>
      </c>
      <c r="E56" s="41" t="s">
        <v>1272</v>
      </c>
    </row>
    <row r="57" spans="1:18" x14ac:dyDescent="0.25">
      <c r="D57" s="118">
        <v>1000000</v>
      </c>
      <c r="E57" s="41" t="s">
        <v>3691</v>
      </c>
    </row>
    <row r="58" spans="1:18" x14ac:dyDescent="0.25">
      <c r="D58" s="118">
        <v>200000</v>
      </c>
      <c r="E58" s="41" t="s">
        <v>3701</v>
      </c>
    </row>
    <row r="59" spans="1:18" x14ac:dyDescent="0.25">
      <c r="D59" s="118">
        <v>3000000</v>
      </c>
      <c r="E59" s="41" t="s">
        <v>3706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3997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3986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4035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4035</v>
      </c>
      <c r="B4" s="18">
        <v>-32000</v>
      </c>
      <c r="C4" s="18">
        <v>0</v>
      </c>
      <c r="D4" s="117">
        <f t="shared" si="0"/>
        <v>-32000</v>
      </c>
      <c r="E4" s="103" t="s">
        <v>4006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4037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4076</v>
      </c>
      <c r="B6" s="18">
        <v>-9396</v>
      </c>
      <c r="C6" s="18">
        <v>0</v>
      </c>
      <c r="D6" s="117">
        <f t="shared" si="0"/>
        <v>-9396</v>
      </c>
      <c r="E6" s="19" t="s">
        <v>4079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4080</v>
      </c>
      <c r="B7" s="18">
        <v>-43300</v>
      </c>
      <c r="C7" s="18">
        <v>0</v>
      </c>
      <c r="D7" s="117">
        <f t="shared" si="0"/>
        <v>-43300</v>
      </c>
      <c r="E7" s="19" t="s">
        <v>4079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4093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4097</v>
      </c>
      <c r="B9" s="18">
        <v>3000000</v>
      </c>
      <c r="C9" s="18">
        <v>0</v>
      </c>
      <c r="D9" s="117">
        <f t="shared" si="0"/>
        <v>3000000</v>
      </c>
      <c r="E9" s="21" t="s">
        <v>4096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4095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4005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4006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4010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4012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4015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4020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4021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4038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4039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4041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4042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4043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4044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4045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4047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4049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4051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4052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4053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4057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4059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4060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4062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4065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4070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4081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4083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4099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 x14ac:dyDescent="0.25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 x14ac:dyDescent="0.25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 x14ac:dyDescent="0.25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 x14ac:dyDescent="0.25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 x14ac:dyDescent="0.25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 x14ac:dyDescent="0.25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 x14ac:dyDescent="0.25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3996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 x14ac:dyDescent="0.25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 x14ac:dyDescent="0.25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 x14ac:dyDescent="0.25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5" t="s">
        <v>4098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1060</v>
      </c>
    </row>
    <row r="2" spans="1:1" x14ac:dyDescent="0.25">
      <c r="A2" t="s">
        <v>1061</v>
      </c>
    </row>
    <row r="3" spans="1:1" x14ac:dyDescent="0.25">
      <c r="A3" t="s">
        <v>1062</v>
      </c>
    </row>
    <row r="4" spans="1:1" x14ac:dyDescent="0.25">
      <c r="A4" t="s">
        <v>1063</v>
      </c>
    </row>
    <row r="5" spans="1:1" x14ac:dyDescent="0.25">
      <c r="A5" t="s">
        <v>1064</v>
      </c>
    </row>
    <row r="6" spans="1:1" x14ac:dyDescent="0.25">
      <c r="A6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 x14ac:dyDescent="0.25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 x14ac:dyDescent="0.25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 x14ac:dyDescent="0.25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 x14ac:dyDescent="0.25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 x14ac:dyDescent="0.25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 x14ac:dyDescent="0.25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 x14ac:dyDescent="0.25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 x14ac:dyDescent="0.25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 x14ac:dyDescent="0.25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 x14ac:dyDescent="0.25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 x14ac:dyDescent="0.25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 x14ac:dyDescent="0.25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 x14ac:dyDescent="0.25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 x14ac:dyDescent="0.25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 x14ac:dyDescent="0.25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 x14ac:dyDescent="0.25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 x14ac:dyDescent="0.25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 x14ac:dyDescent="0.25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 x14ac:dyDescent="0.25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 x14ac:dyDescent="0.25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 x14ac:dyDescent="0.25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 x14ac:dyDescent="0.25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 x14ac:dyDescent="0.25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 x14ac:dyDescent="0.25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 x14ac:dyDescent="0.25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 x14ac:dyDescent="0.25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 x14ac:dyDescent="0.25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 x14ac:dyDescent="0.25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 x14ac:dyDescent="0.25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 x14ac:dyDescent="0.25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 x14ac:dyDescent="0.25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 x14ac:dyDescent="0.25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 x14ac:dyDescent="0.25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 x14ac:dyDescent="0.25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 x14ac:dyDescent="0.25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 x14ac:dyDescent="0.25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 x14ac:dyDescent="0.25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 x14ac:dyDescent="0.25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 x14ac:dyDescent="0.25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 x14ac:dyDescent="0.25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 x14ac:dyDescent="0.25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 x14ac:dyDescent="0.25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 x14ac:dyDescent="0.25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 x14ac:dyDescent="0.25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 x14ac:dyDescent="0.25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 x14ac:dyDescent="0.25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 x14ac:dyDescent="0.25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 x14ac:dyDescent="0.25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 x14ac:dyDescent="0.25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 x14ac:dyDescent="0.25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 x14ac:dyDescent="0.25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 x14ac:dyDescent="0.25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 x14ac:dyDescent="0.25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 x14ac:dyDescent="0.25">
      <c r="A249" s="74" t="s">
        <v>3973</v>
      </c>
      <c r="B249" s="177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 x14ac:dyDescent="0.25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 x14ac:dyDescent="0.25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 x14ac:dyDescent="0.25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 x14ac:dyDescent="0.25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 x14ac:dyDescent="0.25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 x14ac:dyDescent="0.25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 x14ac:dyDescent="0.25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 x14ac:dyDescent="0.25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31" workbookViewId="0">
      <selection activeCell="G40" sqref="G40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8.8554687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 x14ac:dyDescent="0.2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3727</v>
      </c>
      <c r="AK23" s="103"/>
    </row>
    <row r="24" spans="5:37" x14ac:dyDescent="0.25">
      <c r="T24" t="s">
        <v>25</v>
      </c>
      <c r="AJ24" s="103" t="s">
        <v>3728</v>
      </c>
      <c r="AK24" s="103">
        <v>6145</v>
      </c>
    </row>
    <row r="25" spans="5:37" x14ac:dyDescent="0.25">
      <c r="AJ25" s="103" t="s">
        <v>3734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 x14ac:dyDescent="0.25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 x14ac:dyDescent="0.25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3999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1122</v>
      </c>
      <c r="G39" s="96">
        <v>1206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1123</v>
      </c>
      <c r="G40" s="96">
        <v>15000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1124</v>
      </c>
      <c r="G42" s="99">
        <f>G36*G38*G39*G40/(G35*G37)+G41</f>
        <v>4262664.7266881028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19"/>
      <c r="AH50" s="103"/>
      <c r="AI50" s="199" t="s">
        <v>1096</v>
      </c>
      <c r="AJ50" s="199"/>
      <c r="AK50" s="199"/>
      <c r="AL50" s="199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19"/>
      <c r="AH51" s="103"/>
      <c r="AI51" s="199"/>
      <c r="AJ51" s="199"/>
      <c r="AK51" s="199"/>
      <c r="AL51" s="199"/>
    </row>
    <row r="52" spans="1:38" ht="15.75" x14ac:dyDescent="0.2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4171</v>
      </c>
      <c r="AI52" s="200" t="s">
        <v>1097</v>
      </c>
      <c r="AJ52" s="201" t="s">
        <v>1098</v>
      </c>
      <c r="AK52" s="200" t="s">
        <v>1099</v>
      </c>
      <c r="AL52" s="202" t="s">
        <v>1100</v>
      </c>
    </row>
    <row r="53" spans="1:38" x14ac:dyDescent="0.25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19"/>
      <c r="AH53" s="103"/>
      <c r="AI53" s="200"/>
      <c r="AJ53" s="201"/>
      <c r="AK53" s="200"/>
      <c r="AL53" s="202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95"/>
      <c r="AH54" s="192">
        <v>2182188588</v>
      </c>
      <c r="AI54" s="193" t="s">
        <v>1101</v>
      </c>
      <c r="AJ54" s="193" t="s">
        <v>4172</v>
      </c>
      <c r="AK54" s="193" t="s">
        <v>4177</v>
      </c>
      <c r="AL54" s="193" t="s">
        <v>1102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95"/>
      <c r="AH55" s="192">
        <v>2126210865</v>
      </c>
      <c r="AI55" s="194" t="s">
        <v>1103</v>
      </c>
      <c r="AJ55" s="194" t="s">
        <v>1104</v>
      </c>
      <c r="AK55" s="194" t="s">
        <v>1105</v>
      </c>
      <c r="AL55" s="194" t="s">
        <v>1106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95"/>
      <c r="AH56" s="192">
        <v>2188831909</v>
      </c>
      <c r="AI56" s="103" t="s">
        <v>4174</v>
      </c>
      <c r="AJ56" s="103" t="s">
        <v>4175</v>
      </c>
      <c r="AK56" s="103" t="s">
        <v>4176</v>
      </c>
      <c r="AL56" s="197" t="s">
        <v>4178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4163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x14ac:dyDescent="0.25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 x14ac:dyDescent="0.25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 x14ac:dyDescent="0.25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 x14ac:dyDescent="0.25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 x14ac:dyDescent="0.25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 x14ac:dyDescent="0.25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 x14ac:dyDescent="0.25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 x14ac:dyDescent="0.25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 x14ac:dyDescent="0.25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 x14ac:dyDescent="0.25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 x14ac:dyDescent="0.25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 x14ac:dyDescent="0.25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 x14ac:dyDescent="0.25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 x14ac:dyDescent="0.25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 x14ac:dyDescent="0.25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 x14ac:dyDescent="0.25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 x14ac:dyDescent="0.25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 x14ac:dyDescent="0.25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 x14ac:dyDescent="0.25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 x14ac:dyDescent="0.25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 x14ac:dyDescent="0.25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 x14ac:dyDescent="0.25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 x14ac:dyDescent="0.25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 x14ac:dyDescent="0.25">
      <c r="A113" s="100"/>
      <c r="B113" s="100"/>
      <c r="C113" s="100"/>
      <c r="D113" s="100"/>
      <c r="E113" s="100"/>
      <c r="F113" s="100"/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3761</v>
      </c>
      <c r="I1" t="s">
        <v>3767</v>
      </c>
    </row>
    <row r="2" spans="1:12" x14ac:dyDescent="0.25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 x14ac:dyDescent="0.25">
      <c r="A3">
        <v>2</v>
      </c>
      <c r="B3" t="s">
        <v>3756</v>
      </c>
      <c r="G3" s="127"/>
      <c r="H3" t="s">
        <v>3763</v>
      </c>
      <c r="I3" t="s">
        <v>3769</v>
      </c>
    </row>
    <row r="4" spans="1:12" x14ac:dyDescent="0.25">
      <c r="A4">
        <v>3</v>
      </c>
      <c r="B4" t="s">
        <v>3757</v>
      </c>
      <c r="H4" t="s">
        <v>3764</v>
      </c>
      <c r="L4" s="127"/>
    </row>
    <row r="5" spans="1:12" x14ac:dyDescent="0.25">
      <c r="H5" t="s">
        <v>3766</v>
      </c>
    </row>
    <row r="6" spans="1:12" x14ac:dyDescent="0.25">
      <c r="B6" s="127" t="s">
        <v>3760</v>
      </c>
      <c r="H6" t="s">
        <v>3770</v>
      </c>
    </row>
    <row r="7" spans="1:12" x14ac:dyDescent="0.25">
      <c r="H7" t="s">
        <v>3771</v>
      </c>
    </row>
    <row r="8" spans="1:12" x14ac:dyDescent="0.25">
      <c r="H8" t="s">
        <v>3772</v>
      </c>
    </row>
    <row r="9" spans="1:12" x14ac:dyDescent="0.25">
      <c r="H9" t="s">
        <v>3785</v>
      </c>
    </row>
    <row r="10" spans="1:12" x14ac:dyDescent="0.25">
      <c r="H10" t="s">
        <v>3786</v>
      </c>
    </row>
    <row r="11" spans="1:12" x14ac:dyDescent="0.25">
      <c r="H11" t="s">
        <v>3787</v>
      </c>
    </row>
    <row r="12" spans="1:12" x14ac:dyDescent="0.25">
      <c r="H12" t="s">
        <v>3789</v>
      </c>
    </row>
    <row r="13" spans="1:12" x14ac:dyDescent="0.25">
      <c r="H13" t="s">
        <v>3788</v>
      </c>
    </row>
    <row r="18" spans="1:8" x14ac:dyDescent="0.25">
      <c r="A18" s="103" t="s">
        <v>3773</v>
      </c>
      <c r="B18" s="103"/>
      <c r="C18" s="103"/>
      <c r="D18" s="103"/>
    </row>
    <row r="19" spans="1:8" x14ac:dyDescent="0.25">
      <c r="A19" s="103">
        <v>1</v>
      </c>
      <c r="B19" s="103" t="s">
        <v>3774</v>
      </c>
      <c r="C19" s="103" t="s">
        <v>3776</v>
      </c>
      <c r="D19" s="103"/>
    </row>
    <row r="20" spans="1:8" x14ac:dyDescent="0.25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3783</v>
      </c>
      <c r="H38" s="22"/>
    </row>
    <row r="39" spans="1:8" x14ac:dyDescent="0.25">
      <c r="A39">
        <v>1</v>
      </c>
      <c r="B39" t="s">
        <v>3780</v>
      </c>
    </row>
    <row r="40" spans="1:8" x14ac:dyDescent="0.25">
      <c r="A40">
        <v>2</v>
      </c>
      <c r="B40" t="s">
        <v>3784</v>
      </c>
    </row>
    <row r="41" spans="1:8" x14ac:dyDescent="0.25">
      <c r="A41">
        <v>3</v>
      </c>
      <c r="B41" t="s">
        <v>3781</v>
      </c>
    </row>
    <row r="42" spans="1:8" x14ac:dyDescent="0.25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 x14ac:dyDescent="0.2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 x14ac:dyDescent="0.2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 x14ac:dyDescent="0.2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3990</v>
      </c>
      <c r="D3" t="s">
        <v>3989</v>
      </c>
      <c r="G3" t="s">
        <v>3991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3992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3886</v>
      </c>
      <c r="R8" t="s">
        <v>3941</v>
      </c>
      <c r="S8" t="s">
        <v>3996</v>
      </c>
    </row>
    <row r="9" spans="2:19" x14ac:dyDescent="0.25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944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4089</v>
      </c>
      <c r="L19" t="s">
        <v>4090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4091</v>
      </c>
      <c r="M20" t="s">
        <v>4092</v>
      </c>
      <c r="N20" t="s">
        <v>4198</v>
      </c>
      <c r="O20" t="s">
        <v>4199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9" t="s">
        <v>25</v>
      </c>
      <c r="B104" s="180"/>
      <c r="C104" s="181"/>
      <c r="D104" s="179"/>
      <c r="E104" s="179"/>
      <c r="F104" s="179"/>
      <c r="G104" s="179"/>
    </row>
    <row r="105" spans="1:7" x14ac:dyDescent="0.25">
      <c r="A105" s="103" t="s">
        <v>4004</v>
      </c>
      <c r="B105" s="38">
        <f>SUM(B2:B103)</f>
        <v>59475793</v>
      </c>
      <c r="C105" s="73" t="s">
        <v>4003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3987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3987</v>
      </c>
      <c r="B178" s="38">
        <v>-100000</v>
      </c>
      <c r="C178" s="73" t="s">
        <v>3988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3997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4001</v>
      </c>
      <c r="B180" s="38">
        <v>-39030</v>
      </c>
      <c r="C180" s="73" t="s">
        <v>4002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4007</v>
      </c>
      <c r="B181" s="38">
        <v>-32000</v>
      </c>
      <c r="C181" s="73" t="s">
        <v>4008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4011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4013</v>
      </c>
      <c r="B183" s="38">
        <v>-20000</v>
      </c>
      <c r="C183" s="73" t="s">
        <v>4014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993</v>
      </c>
      <c r="B184" s="38">
        <v>-8185</v>
      </c>
      <c r="C184" s="73" t="s">
        <v>4017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4022</v>
      </c>
      <c r="B185" s="38">
        <v>-60100</v>
      </c>
      <c r="C185" s="73" t="s">
        <v>4023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4022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4050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4063</v>
      </c>
      <c r="B188" s="38">
        <v>-16000</v>
      </c>
      <c r="C188" s="73" t="s">
        <v>4064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4066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4074</v>
      </c>
      <c r="B190" s="38">
        <v>-10350</v>
      </c>
      <c r="C190" s="73" t="s">
        <v>4075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E25" zoomScaleNormal="100" workbookViewId="0">
      <selection activeCell="M48" sqref="M4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2.71093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-L70*12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2" t="s">
        <v>451</v>
      </c>
      <c r="L15" s="2" t="s">
        <v>452</v>
      </c>
      <c r="M15" s="2"/>
      <c r="N15" s="2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-7044456</v>
      </c>
      <c r="P17" s="28"/>
      <c r="Q17" s="187">
        <v>74302282</v>
      </c>
      <c r="R17" s="186" t="s">
        <v>4054</v>
      </c>
      <c r="S17" s="186">
        <v>4</v>
      </c>
      <c r="T17" s="186" t="s">
        <v>4107</v>
      </c>
      <c r="U17" s="119"/>
      <c r="V17" s="119"/>
      <c r="W17" s="120"/>
      <c r="X17" s="119"/>
      <c r="Y17" s="119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3998</v>
      </c>
      <c r="K18" s="2" t="s">
        <v>683</v>
      </c>
      <c r="L18" s="43">
        <v>1000000</v>
      </c>
      <c r="M18" s="2"/>
      <c r="N18" s="3"/>
      <c r="R18" s="119"/>
      <c r="S18" s="119"/>
      <c r="T18" s="120"/>
      <c r="U18" s="120"/>
      <c r="V18" s="120"/>
      <c r="W18" s="120"/>
      <c r="X18" s="119"/>
      <c r="Y18" s="119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4114</v>
      </c>
      <c r="K19" s="2" t="s">
        <v>85</v>
      </c>
      <c r="L19" s="43">
        <f>-شهریور97!D57</f>
        <v>10626858</v>
      </c>
      <c r="M19" s="2" t="s">
        <v>3995</v>
      </c>
      <c r="N19" s="3">
        <f>1608*P28</f>
        <v>5515440</v>
      </c>
      <c r="O19" s="184" t="s">
        <v>4055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4126</v>
      </c>
      <c r="AJ19" s="69" t="s">
        <v>4118</v>
      </c>
      <c r="AK19" s="69" t="s">
        <v>282</v>
      </c>
      <c r="AL19" s="103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L39</f>
        <v>101068297</v>
      </c>
      <c r="G20" s="29">
        <f t="shared" si="0"/>
        <v>6997555.2381931096</v>
      </c>
      <c r="H20" s="11" t="s">
        <v>4115</v>
      </c>
      <c r="K20" s="2" t="s">
        <v>456</v>
      </c>
      <c r="L20" s="43">
        <v>175000</v>
      </c>
      <c r="M20" s="2" t="s">
        <v>757</v>
      </c>
      <c r="N20" s="3">
        <v>3000000</v>
      </c>
      <c r="O20" s="22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63" si="4">AJ21+AI20</f>
        <v>156</v>
      </c>
      <c r="AK20" s="117">
        <f>AH20*AJ20</f>
        <v>2808000000</v>
      </c>
      <c r="AL20" s="103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-10626858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155</v>
      </c>
      <c r="AK21" s="117">
        <f t="shared" ref="AK21:AK64" si="5">AH21*AJ21</f>
        <v>387500000</v>
      </c>
      <c r="AL21" s="103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2" t="s">
        <v>920</v>
      </c>
      <c r="L22" s="43">
        <v>4800000</v>
      </c>
      <c r="M22" s="2" t="s">
        <v>754</v>
      </c>
      <c r="N22" s="3">
        <v>2000000</v>
      </c>
      <c r="P22" t="s">
        <v>25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154</v>
      </c>
      <c r="AK22" s="117">
        <f t="shared" si="5"/>
        <v>1232000000</v>
      </c>
      <c r="AL22" s="103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4122</v>
      </c>
      <c r="AH23" s="117">
        <v>-79552</v>
      </c>
      <c r="AI23" s="103">
        <v>1</v>
      </c>
      <c r="AJ23" s="103">
        <f t="shared" si="4"/>
        <v>153</v>
      </c>
      <c r="AK23" s="117">
        <f t="shared" si="5"/>
        <v>-12171456</v>
      </c>
      <c r="AL23" s="103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2" t="s">
        <v>1092</v>
      </c>
      <c r="L24" s="43">
        <f>سکه!T22</f>
        <v>91000000</v>
      </c>
      <c r="M24" s="73" t="s">
        <v>4000</v>
      </c>
      <c r="N24" s="3">
        <v>4000000</v>
      </c>
      <c r="O24" s="22" t="s">
        <v>4137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152</v>
      </c>
      <c r="AK24" s="117">
        <f t="shared" si="5"/>
        <v>25156000</v>
      </c>
      <c r="AL24" s="103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1092</v>
      </c>
      <c r="N25" s="3">
        <v>106500000</v>
      </c>
      <c r="W25" s="103"/>
      <c r="X25" s="103"/>
      <c r="Y25" s="103"/>
      <c r="Z25" s="103"/>
      <c r="AA25" s="103" t="s">
        <v>4105</v>
      </c>
      <c r="AB25" s="190">
        <v>170.3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140</v>
      </c>
      <c r="AK25" s="117">
        <f t="shared" si="5"/>
        <v>-4036245780</v>
      </c>
      <c r="AL25" s="103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2"/>
      <c r="N26" s="173"/>
      <c r="Q26" s="73"/>
      <c r="R26" s="116"/>
      <c r="S26" s="116"/>
      <c r="T26" s="116"/>
      <c r="W26" s="103"/>
      <c r="X26" s="99"/>
      <c r="Y26" s="103"/>
      <c r="Z26" s="103"/>
      <c r="AA26" s="103" t="s">
        <v>4106</v>
      </c>
      <c r="AB26" s="190">
        <v>3500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134</v>
      </c>
      <c r="AK26" s="117">
        <f t="shared" si="5"/>
        <v>2479000000</v>
      </c>
      <c r="AL26" s="103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6"/>
      <c r="L27" s="121"/>
      <c r="M27" s="116" t="s">
        <v>3923</v>
      </c>
      <c r="N27" s="117">
        <v>2602</v>
      </c>
      <c r="O27" s="103" t="s">
        <v>940</v>
      </c>
      <c r="P27" s="103" t="s">
        <v>3965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133</v>
      </c>
      <c r="AK27" s="117">
        <f t="shared" si="5"/>
        <v>-2467150000</v>
      </c>
      <c r="AL27" s="103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6" t="s">
        <v>1180</v>
      </c>
      <c r="L28" s="121">
        <v>25600</v>
      </c>
      <c r="M28" s="116" t="s">
        <v>4019</v>
      </c>
      <c r="N28" s="117">
        <f>O28*P28</f>
        <v>79442230</v>
      </c>
      <c r="O28" s="103">
        <v>23161</v>
      </c>
      <c r="P28" s="103">
        <v>3430</v>
      </c>
      <c r="Q28" s="38">
        <v>2458039</v>
      </c>
      <c r="R28" s="116" t="s">
        <v>3948</v>
      </c>
      <c r="S28" s="116">
        <v>60</v>
      </c>
      <c r="T28" s="73" t="s">
        <v>4046</v>
      </c>
      <c r="U28" s="117">
        <f>Q28*0.02*S28/31</f>
        <v>95149.896774193548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132</v>
      </c>
      <c r="AK28" s="117">
        <f t="shared" si="5"/>
        <v>-8574852</v>
      </c>
      <c r="AL28" s="103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6" t="s">
        <v>1181</v>
      </c>
      <c r="L29" s="121">
        <v>7637</v>
      </c>
      <c r="M29" s="32" t="s">
        <v>4147</v>
      </c>
      <c r="N29" s="117">
        <f>O29*P29</f>
        <v>17358049.099999998</v>
      </c>
      <c r="O29" s="103">
        <v>102893</v>
      </c>
      <c r="P29" s="103">
        <v>168.7</v>
      </c>
      <c r="Q29" s="38">
        <v>74302282</v>
      </c>
      <c r="R29" s="116" t="s">
        <v>4054</v>
      </c>
      <c r="S29" s="116">
        <f>S28-27</f>
        <v>33</v>
      </c>
      <c r="T29" s="116" t="s">
        <v>4107</v>
      </c>
      <c r="U29" s="117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127</v>
      </c>
      <c r="AK29" s="117">
        <f t="shared" si="5"/>
        <v>812800000</v>
      </c>
      <c r="AL29" s="103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1"/>
      <c r="M30" s="116" t="s">
        <v>4202</v>
      </c>
      <c r="N30" s="117">
        <f>O30*P30</f>
        <v>999600</v>
      </c>
      <c r="O30" s="103">
        <v>294</v>
      </c>
      <c r="P30" s="103">
        <v>3400</v>
      </c>
      <c r="Q30" s="38">
        <v>1098728</v>
      </c>
      <c r="R30" s="116" t="s">
        <v>4054</v>
      </c>
      <c r="S30" s="116">
        <f>S29</f>
        <v>33</v>
      </c>
      <c r="T30" s="116" t="s">
        <v>4056</v>
      </c>
      <c r="U30" s="117"/>
      <c r="V30" s="26"/>
      <c r="W30" s="103"/>
      <c r="X30" s="103" t="s">
        <v>4141</v>
      </c>
      <c r="Y30" s="103" t="s">
        <v>4142</v>
      </c>
      <c r="Z30" s="103" t="s">
        <v>940</v>
      </c>
      <c r="AA30" s="103" t="s">
        <v>4143</v>
      </c>
      <c r="AB30" s="103"/>
      <c r="AC30" s="103"/>
      <c r="AD30" s="103"/>
      <c r="AF30" s="103">
        <v>11</v>
      </c>
      <c r="AG30" s="117" t="s">
        <v>4123</v>
      </c>
      <c r="AH30" s="117">
        <v>-170000</v>
      </c>
      <c r="AI30" s="103">
        <v>5</v>
      </c>
      <c r="AJ30" s="103">
        <f t="shared" si="4"/>
        <v>126</v>
      </c>
      <c r="AK30" s="117">
        <f t="shared" si="5"/>
        <v>-21420000</v>
      </c>
      <c r="AL30" s="103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3984</v>
      </c>
      <c r="L31" s="121">
        <v>-1600000</v>
      </c>
      <c r="M31" s="56" t="s">
        <v>4213</v>
      </c>
      <c r="N31" s="117">
        <f>O31*P31</f>
        <v>4982488</v>
      </c>
      <c r="O31" s="178">
        <v>922</v>
      </c>
      <c r="P31" s="69">
        <v>5404</v>
      </c>
      <c r="Q31" s="177">
        <v>2996679</v>
      </c>
      <c r="R31" s="8" t="s">
        <v>4069</v>
      </c>
      <c r="S31" s="40">
        <f>S30-1</f>
        <v>32</v>
      </c>
      <c r="T31" s="8" t="s">
        <v>4068</v>
      </c>
      <c r="U31" s="117"/>
      <c r="V31" s="26"/>
      <c r="W31" s="103" t="s">
        <v>4152</v>
      </c>
      <c r="X31" s="103">
        <v>3301.8</v>
      </c>
      <c r="Y31" s="103">
        <f>X31/(1+$X$44)</f>
        <v>3281.1288880055654</v>
      </c>
      <c r="Z31" s="103">
        <v>20000</v>
      </c>
      <c r="AA31" s="117">
        <f>Y31*Z31</f>
        <v>65622577.76011131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 t="shared" si="4"/>
        <v>121</v>
      </c>
      <c r="AK31" s="117">
        <f t="shared" si="5"/>
        <v>-762300000</v>
      </c>
      <c r="AL31" s="103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4168</v>
      </c>
      <c r="L32" s="121">
        <v>-5000000</v>
      </c>
      <c r="M32" s="103"/>
      <c r="N32" s="103"/>
      <c r="P32" s="103"/>
      <c r="Q32" s="38">
        <v>793693</v>
      </c>
      <c r="R32" s="116" t="s">
        <v>4066</v>
      </c>
      <c r="S32" s="116">
        <f>S31-3</f>
        <v>29</v>
      </c>
      <c r="T32" s="116" t="s">
        <v>4067</v>
      </c>
      <c r="U32" s="117"/>
      <c r="V32" s="26"/>
      <c r="W32" s="103" t="s">
        <v>4151</v>
      </c>
      <c r="X32" s="103">
        <v>3300</v>
      </c>
      <c r="Y32" s="103">
        <f>X32/(1+$X$44)</f>
        <v>3279.3401570108317</v>
      </c>
      <c r="Z32" s="103">
        <v>2212</v>
      </c>
      <c r="AA32" s="117">
        <f t="shared" ref="AA32:AA33" si="6">Y32*Z32</f>
        <v>7253900.4273079596</v>
      </c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120</v>
      </c>
      <c r="AK32" s="117">
        <f t="shared" si="5"/>
        <v>-6241800</v>
      </c>
      <c r="AL32" s="103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03"/>
      <c r="N33" s="117"/>
      <c r="O33" s="183"/>
      <c r="P33" s="103"/>
      <c r="Q33" s="187">
        <v>2495233</v>
      </c>
      <c r="R33" s="116" t="s">
        <v>4135</v>
      </c>
      <c r="S33" s="116">
        <f>S32-16</f>
        <v>13</v>
      </c>
      <c r="T33" s="116" t="s">
        <v>4134</v>
      </c>
      <c r="W33" s="103" t="s">
        <v>752</v>
      </c>
      <c r="X33" s="103">
        <v>3290</v>
      </c>
      <c r="Y33" s="103">
        <f>X33/(1+$X$44)</f>
        <v>3269.4027625956473</v>
      </c>
      <c r="Z33" s="103">
        <v>1608</v>
      </c>
      <c r="AA33" s="117">
        <f t="shared" si="6"/>
        <v>5257199.6422538012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104</v>
      </c>
      <c r="AK33" s="117">
        <f t="shared" si="5"/>
        <v>2081809600</v>
      </c>
      <c r="AL33" s="103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03" t="s">
        <v>4162</v>
      </c>
      <c r="N34" s="117">
        <v>35695</v>
      </c>
      <c r="O34" s="103"/>
      <c r="P34" s="103"/>
      <c r="Q34" s="187">
        <v>16908087</v>
      </c>
      <c r="R34" s="116" t="s">
        <v>4148</v>
      </c>
      <c r="S34" s="116">
        <f>S33-2</f>
        <v>11</v>
      </c>
      <c r="T34" s="116" t="s">
        <v>4210</v>
      </c>
      <c r="W34" s="103"/>
      <c r="X34" s="103"/>
      <c r="Y34" s="103"/>
      <c r="Z34" s="103"/>
      <c r="AA34" s="117"/>
      <c r="AB34" s="103"/>
      <c r="AC34" s="103"/>
      <c r="AD34" s="103"/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104</v>
      </c>
      <c r="AK34" s="117">
        <f t="shared" si="5"/>
        <v>105504464</v>
      </c>
      <c r="AL34" s="103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56"/>
      <c r="L35" s="121"/>
      <c r="M35" s="116" t="s">
        <v>4161</v>
      </c>
      <c r="N35" s="117">
        <v>-20000000</v>
      </c>
      <c r="O35" s="103"/>
      <c r="P35" s="103"/>
      <c r="Q35" s="187">
        <v>994774</v>
      </c>
      <c r="R35" s="186" t="s">
        <v>4196</v>
      </c>
      <c r="S35" s="186">
        <f>S34-10</f>
        <v>1</v>
      </c>
      <c r="T35" s="186" t="s">
        <v>4201</v>
      </c>
      <c r="W35" s="103"/>
      <c r="X35" s="103" t="s">
        <v>4144</v>
      </c>
      <c r="Y35" s="103" t="s">
        <v>4142</v>
      </c>
      <c r="Z35" s="103"/>
      <c r="AA35" s="103" t="s">
        <v>4146</v>
      </c>
      <c r="AB35" s="103"/>
      <c r="AC35" s="103"/>
      <c r="AD35" s="103" t="s">
        <v>4145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92</v>
      </c>
      <c r="AK35" s="117">
        <f t="shared" si="5"/>
        <v>33120000</v>
      </c>
      <c r="AL35" s="103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03"/>
      <c r="L36" s="103"/>
      <c r="M36" s="73" t="s">
        <v>4061</v>
      </c>
      <c r="N36" s="121">
        <f>-840*P28</f>
        <v>-2881200</v>
      </c>
      <c r="Q36" s="187">
        <v>5077813</v>
      </c>
      <c r="R36" s="186" t="s">
        <v>4211</v>
      </c>
      <c r="S36" s="186">
        <f>S35-1</f>
        <v>0</v>
      </c>
      <c r="T36" s="186" t="s">
        <v>4212</v>
      </c>
      <c r="W36" s="103" t="s">
        <v>4152</v>
      </c>
      <c r="X36" s="103">
        <v>165.77038999999999</v>
      </c>
      <c r="Y36" s="103">
        <f>X36*(1+$X$45)</f>
        <v>166.58266491099997</v>
      </c>
      <c r="Z36" s="103">
        <f>AA31/Y36</f>
        <v>393934.01345314924</v>
      </c>
      <c r="AA36" s="117">
        <f>Y36*Z36</f>
        <v>65622577.76011131</v>
      </c>
      <c r="AB36" s="91">
        <f>$AB$25*Z36/(1+$X$44)</f>
        <v>66666960.639045335</v>
      </c>
      <c r="AC36" s="103">
        <f>AB36/($AB$26*(1+$X$45))</f>
        <v>18954.824400166424</v>
      </c>
      <c r="AD36" s="103">
        <f>AC36-Z31</f>
        <v>-1045.1755998335757</v>
      </c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90</v>
      </c>
      <c r="AK36" s="117">
        <f t="shared" si="5"/>
        <v>-31500000</v>
      </c>
      <c r="AL36" s="103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116"/>
      <c r="L37" s="121"/>
      <c r="M37" s="116"/>
      <c r="N37" s="117"/>
      <c r="Q37" s="187"/>
      <c r="R37" s="186"/>
      <c r="S37" s="186"/>
      <c r="T37" s="186"/>
      <c r="W37" s="103" t="s">
        <v>4151</v>
      </c>
      <c r="X37" s="103">
        <v>162.4</v>
      </c>
      <c r="Y37" s="103">
        <f t="shared" ref="Y37:Y38" si="10">X37*(1+$X$45)</f>
        <v>163.19575999999998</v>
      </c>
      <c r="Z37" s="103">
        <v>44487</v>
      </c>
      <c r="AA37" s="117">
        <f t="shared" ref="AA37:AA38" si="11">Y37*Z37</f>
        <v>7260089.7751199994</v>
      </c>
      <c r="AB37" s="91">
        <f>$AB$25*Z37/(1+$X$44)</f>
        <v>7528705.2568816468</v>
      </c>
      <c r="AC37" s="103">
        <f>AB37/($AB$26*(1+$X$45))</f>
        <v>2140.5698525458533</v>
      </c>
      <c r="AD37" s="103">
        <f>AC37-Z32</f>
        <v>-71.430147454146663</v>
      </c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90</v>
      </c>
      <c r="AK37" s="117">
        <f t="shared" si="5"/>
        <v>90000</v>
      </c>
      <c r="AL37" s="103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116" t="s">
        <v>25</v>
      </c>
      <c r="L38" s="121"/>
      <c r="M38" s="174"/>
      <c r="N38" s="175"/>
      <c r="O38" t="s">
        <v>25</v>
      </c>
      <c r="Q38" s="187"/>
      <c r="R38" s="186"/>
      <c r="S38" s="186"/>
      <c r="T38" s="186"/>
      <c r="U38" s="100"/>
      <c r="W38" s="103" t="s">
        <v>752</v>
      </c>
      <c r="X38" s="103">
        <v>162.4</v>
      </c>
      <c r="Y38" s="103">
        <f t="shared" si="10"/>
        <v>163.19575999999998</v>
      </c>
      <c r="Z38" s="103">
        <v>32243</v>
      </c>
      <c r="AA38" s="117">
        <f t="shared" si="11"/>
        <v>5261920.8896799991</v>
      </c>
      <c r="AB38" s="91">
        <f>$AB$25*Z38/(1+$X$44)</f>
        <v>5456606.2804332711</v>
      </c>
      <c r="AC38" s="103">
        <f>AB38/($AB$26*(1+$X$45))</f>
        <v>1551.428366840559</v>
      </c>
      <c r="AD38" s="103">
        <f>AC38-Z33</f>
        <v>-56.571633159441035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89</v>
      </c>
      <c r="AK38" s="117">
        <f t="shared" si="5"/>
        <v>2991290000</v>
      </c>
      <c r="AL38" s="103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2" t="s">
        <v>598</v>
      </c>
      <c r="L39" s="3">
        <f>SUM(L16:L36)</f>
        <v>101068297</v>
      </c>
      <c r="M39" s="2"/>
      <c r="N39" s="3">
        <f>SUM(N16:N37)</f>
        <v>184501895.09999999</v>
      </c>
      <c r="O39" t="s">
        <v>25</v>
      </c>
      <c r="Q39" s="103"/>
      <c r="R39" s="103"/>
      <c r="S39" s="103"/>
      <c r="T39" s="103"/>
      <c r="W39" s="103"/>
      <c r="X39" s="103"/>
      <c r="Y39" s="103"/>
      <c r="Z39" s="103"/>
      <c r="AA39" s="117"/>
      <c r="AB39" s="91"/>
      <c r="AC39" s="103"/>
      <c r="AD39" s="103"/>
      <c r="AF39" s="103">
        <v>20</v>
      </c>
      <c r="AG39" s="117" t="s">
        <v>4124</v>
      </c>
      <c r="AH39" s="117">
        <v>-15600000</v>
      </c>
      <c r="AI39" s="103">
        <v>3</v>
      </c>
      <c r="AJ39" s="103">
        <f t="shared" si="4"/>
        <v>85</v>
      </c>
      <c r="AK39" s="117">
        <f t="shared" si="5"/>
        <v>-1326000000</v>
      </c>
      <c r="AL39" s="103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K40" s="2" t="s">
        <v>599</v>
      </c>
      <c r="L40" s="3">
        <f>L16+L17+L20+L29+L28</f>
        <v>241439</v>
      </c>
      <c r="M40" s="2"/>
      <c r="N40" s="3">
        <f>N16+N17+N22</f>
        <v>-5026151</v>
      </c>
      <c r="Q40" s="187"/>
      <c r="R40" s="186"/>
      <c r="S40" s="186"/>
      <c r="T40" s="186"/>
      <c r="U40" t="s">
        <v>4024</v>
      </c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82</v>
      </c>
      <c r="AK40" s="117">
        <f t="shared" si="5"/>
        <v>615000000</v>
      </c>
      <c r="AL40" s="103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K41" s="56" t="s">
        <v>716</v>
      </c>
      <c r="L41" s="1">
        <f>L39+N7</f>
        <v>171068297</v>
      </c>
      <c r="M41" s="3"/>
      <c r="N41" s="2"/>
      <c r="O41" s="22"/>
      <c r="Q41" s="186"/>
      <c r="R41" s="186"/>
      <c r="S41" s="186"/>
      <c r="T41" s="186"/>
      <c r="U41" t="s">
        <v>4025</v>
      </c>
      <c r="Y41" t="s">
        <v>4183</v>
      </c>
      <c r="Z41">
        <f>Z36+Z37+Z38</f>
        <v>470664.01345314924</v>
      </c>
      <c r="AA41">
        <f>Z41*P29</f>
        <v>79401019.069546267</v>
      </c>
      <c r="AF41" s="103">
        <v>22</v>
      </c>
      <c r="AG41" s="117" t="s">
        <v>4125</v>
      </c>
      <c r="AH41" s="117">
        <v>-98000</v>
      </c>
      <c r="AI41" s="103">
        <v>1</v>
      </c>
      <c r="AJ41" s="103">
        <f t="shared" si="4"/>
        <v>78</v>
      </c>
      <c r="AK41" s="117">
        <f t="shared" si="5"/>
        <v>-7644000</v>
      </c>
      <c r="AL41" s="103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t="s">
        <v>4138</v>
      </c>
      <c r="Q42" s="117">
        <f>SUM(N28:N32)-SUM(Q28:Q38)</f>
        <v>-4342960.900000006</v>
      </c>
      <c r="R42" s="116"/>
      <c r="S42" s="116"/>
      <c r="T42" s="116"/>
      <c r="U42" t="s">
        <v>4026</v>
      </c>
      <c r="Y42" t="s">
        <v>4184</v>
      </c>
      <c r="Z42">
        <f>Z36+Z37</f>
        <v>438421.01345314924</v>
      </c>
      <c r="AA42">
        <f>Z42*P29</f>
        <v>73961624.969546273</v>
      </c>
      <c r="AB42" t="s">
        <v>25</v>
      </c>
      <c r="AF42" s="103">
        <v>23</v>
      </c>
      <c r="AG42" s="117" t="s">
        <v>4119</v>
      </c>
      <c r="AH42" s="117">
        <v>-26000000</v>
      </c>
      <c r="AI42" s="103">
        <v>0</v>
      </c>
      <c r="AJ42" s="103">
        <f t="shared" si="4"/>
        <v>77</v>
      </c>
      <c r="AK42" s="117">
        <f t="shared" si="5"/>
        <v>-2002000000</v>
      </c>
      <c r="AL42" s="103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5" t="s">
        <v>4203</v>
      </c>
      <c r="U43" t="s">
        <v>4027</v>
      </c>
      <c r="Y43" t="s">
        <v>4185</v>
      </c>
      <c r="Z43">
        <v>949</v>
      </c>
      <c r="AA43">
        <f>Z43*P28</f>
        <v>3255070</v>
      </c>
      <c r="AB43" t="s">
        <v>25</v>
      </c>
      <c r="AD43" s="100" t="s">
        <v>25</v>
      </c>
      <c r="AF43" s="103">
        <v>24</v>
      </c>
      <c r="AG43" s="117" t="s">
        <v>4119</v>
      </c>
      <c r="AH43" s="117">
        <v>25000000</v>
      </c>
      <c r="AI43" s="103">
        <v>1</v>
      </c>
      <c r="AJ43" s="103">
        <f t="shared" si="4"/>
        <v>77</v>
      </c>
      <c r="AK43" s="117">
        <f t="shared" si="5"/>
        <v>1925000000</v>
      </c>
      <c r="AL43" s="103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M44" s="25" t="s">
        <v>4164</v>
      </c>
      <c r="U44" s="9" t="s">
        <v>4028</v>
      </c>
      <c r="W44" t="s">
        <v>952</v>
      </c>
      <c r="X44">
        <v>6.3E-3</v>
      </c>
      <c r="Y44" t="s">
        <v>4186</v>
      </c>
      <c r="Z44" s="118">
        <f>N29+AA42+AA43+N30+N31</f>
        <v>100556832.06954627</v>
      </c>
      <c r="AA44" t="s">
        <v>25</v>
      </c>
      <c r="AF44" s="103">
        <v>25</v>
      </c>
      <c r="AG44" s="117" t="s">
        <v>4120</v>
      </c>
      <c r="AH44" s="117">
        <v>110000</v>
      </c>
      <c r="AI44" s="103">
        <v>1</v>
      </c>
      <c r="AJ44" s="103">
        <f t="shared" si="4"/>
        <v>76</v>
      </c>
      <c r="AK44" s="117">
        <f t="shared" si="5"/>
        <v>8360000</v>
      </c>
      <c r="AL44" s="103"/>
    </row>
    <row r="45" spans="1:38" ht="30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M45" s="198" t="s">
        <v>4207</v>
      </c>
      <c r="Q45" t="s">
        <v>25</v>
      </c>
      <c r="U45" t="s">
        <v>4029</v>
      </c>
      <c r="W45" t="s">
        <v>1022</v>
      </c>
      <c r="X45">
        <v>4.8999999999999998E-3</v>
      </c>
      <c r="AB45" t="s">
        <v>25</v>
      </c>
      <c r="AC45" t="s">
        <v>25</v>
      </c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75</v>
      </c>
      <c r="AK45" s="117">
        <f t="shared" si="5"/>
        <v>28500000</v>
      </c>
      <c r="AL45" s="103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3"/>
      <c r="L46" s="11" t="s">
        <v>304</v>
      </c>
      <c r="M46" s="126" t="s">
        <v>4208</v>
      </c>
      <c r="N46" s="100"/>
      <c r="R46" t="s">
        <v>25</v>
      </c>
      <c r="T46" t="s">
        <v>25</v>
      </c>
      <c r="U46" s="182" t="s">
        <v>4030</v>
      </c>
      <c r="W46" t="s">
        <v>6</v>
      </c>
      <c r="X46">
        <f>X44+X45</f>
        <v>1.12E-2</v>
      </c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68</v>
      </c>
      <c r="AK46" s="117">
        <f t="shared" si="5"/>
        <v>30600000</v>
      </c>
      <c r="AL46" s="103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305</v>
      </c>
      <c r="L47" s="1">
        <v>70000</v>
      </c>
      <c r="M47" s="126" t="s">
        <v>4214</v>
      </c>
      <c r="N47" s="100" t="s">
        <v>25</v>
      </c>
      <c r="Q47" t="s">
        <v>25</v>
      </c>
      <c r="R47" t="s">
        <v>25</v>
      </c>
      <c r="T47" t="s">
        <v>25</v>
      </c>
      <c r="U47" t="s">
        <v>4031</v>
      </c>
      <c r="Y47">
        <f>Z38*P29</f>
        <v>5439394.0999999996</v>
      </c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62</v>
      </c>
      <c r="AK47" s="117">
        <f t="shared" si="5"/>
        <v>173600000</v>
      </c>
      <c r="AL47" s="103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1" t="s">
        <v>321</v>
      </c>
      <c r="L48" s="1">
        <v>100000</v>
      </c>
      <c r="M48" s="100"/>
      <c r="N48" s="100"/>
      <c r="Q48" t="s">
        <v>25</v>
      </c>
      <c r="S48" t="s">
        <v>25</v>
      </c>
      <c r="U48" t="s">
        <v>4032</v>
      </c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61</v>
      </c>
      <c r="AK48" s="117">
        <f t="shared" si="5"/>
        <v>-91500000</v>
      </c>
      <c r="AL48" s="103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1" t="s">
        <v>306</v>
      </c>
      <c r="L49" s="1">
        <v>80000</v>
      </c>
      <c r="M49" s="100"/>
      <c r="N49" s="100"/>
      <c r="T49" t="s">
        <v>25</v>
      </c>
      <c r="U49" t="s">
        <v>4033</v>
      </c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61</v>
      </c>
      <c r="AK49" s="117">
        <f t="shared" si="5"/>
        <v>186050000</v>
      </c>
      <c r="AL49" s="103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307</v>
      </c>
      <c r="L50" s="1">
        <v>150000</v>
      </c>
      <c r="M50" s="100"/>
      <c r="N50" s="100"/>
      <c r="O50" t="s">
        <v>25</v>
      </c>
      <c r="U50" t="s">
        <v>4034</v>
      </c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58</v>
      </c>
      <c r="AK50" s="117">
        <f t="shared" si="5"/>
        <v>-481377496</v>
      </c>
      <c r="AL50" s="103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308</v>
      </c>
      <c r="L51" s="1">
        <v>300000</v>
      </c>
      <c r="M51" s="100"/>
      <c r="N51" s="100"/>
      <c r="Q51" s="116" t="s">
        <v>1139</v>
      </c>
      <c r="R51" s="116"/>
      <c r="U51" t="s">
        <v>4058</v>
      </c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56</v>
      </c>
      <c r="AK51" s="117">
        <f t="shared" si="5"/>
        <v>280000000</v>
      </c>
      <c r="AL51" s="103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31" t="s">
        <v>309</v>
      </c>
      <c r="L52" s="1">
        <v>100000</v>
      </c>
      <c r="M52" s="100"/>
      <c r="N52" s="100" t="s">
        <v>25</v>
      </c>
      <c r="Q52" s="116" t="s">
        <v>267</v>
      </c>
      <c r="R52" s="116" t="s">
        <v>1154</v>
      </c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42</v>
      </c>
      <c r="AK52" s="117">
        <f t="shared" si="5"/>
        <v>-3780000</v>
      </c>
      <c r="AL52" s="103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1" t="s">
        <v>310</v>
      </c>
      <c r="L53" s="1">
        <v>200000</v>
      </c>
      <c r="M53" s="100"/>
      <c r="N53" s="100"/>
      <c r="Q53" s="14">
        <v>250000</v>
      </c>
      <c r="R53" s="116" t="s">
        <v>1155</v>
      </c>
      <c r="AF53" s="103">
        <v>34</v>
      </c>
      <c r="AG53" s="117" t="s">
        <v>4121</v>
      </c>
      <c r="AH53" s="117">
        <v>5600000</v>
      </c>
      <c r="AI53" s="103">
        <v>4</v>
      </c>
      <c r="AJ53" s="103">
        <f t="shared" si="4"/>
        <v>41</v>
      </c>
      <c r="AK53" s="117">
        <f t="shared" si="5"/>
        <v>229600000</v>
      </c>
      <c r="AL53" s="103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18" t="s">
        <v>311</v>
      </c>
      <c r="L54" s="18">
        <v>300000</v>
      </c>
      <c r="M54" s="100"/>
      <c r="N54" s="100"/>
      <c r="Q54" s="14">
        <v>-5800000</v>
      </c>
      <c r="R54" s="116" t="s">
        <v>1156</v>
      </c>
      <c r="AF54" s="103">
        <v>35</v>
      </c>
      <c r="AG54" s="117" t="s">
        <v>4037</v>
      </c>
      <c r="AH54" s="117">
        <v>750000</v>
      </c>
      <c r="AI54" s="103">
        <v>2</v>
      </c>
      <c r="AJ54" s="103">
        <f t="shared" si="4"/>
        <v>37</v>
      </c>
      <c r="AK54" s="117">
        <f t="shared" si="5"/>
        <v>27750000</v>
      </c>
      <c r="AL54" s="103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312</v>
      </c>
      <c r="L55" s="1">
        <v>200000</v>
      </c>
      <c r="M55" s="100"/>
      <c r="N55" s="100"/>
      <c r="Q55" s="14">
        <f>سارا!C207</f>
        <v>7835443</v>
      </c>
      <c r="R55" s="116" t="s">
        <v>1157</v>
      </c>
      <c r="AF55" s="189">
        <v>36</v>
      </c>
      <c r="AG55" s="188" t="s">
        <v>4048</v>
      </c>
      <c r="AH55" s="188">
        <v>-4242000</v>
      </c>
      <c r="AI55" s="189">
        <v>2</v>
      </c>
      <c r="AJ55" s="189">
        <f t="shared" si="4"/>
        <v>35</v>
      </c>
      <c r="AK55" s="188">
        <f t="shared" si="5"/>
        <v>-148470000</v>
      </c>
      <c r="AL55" s="189" t="s">
        <v>4130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313</v>
      </c>
      <c r="L56" s="1">
        <v>20000</v>
      </c>
      <c r="M56" s="100"/>
      <c r="N56" s="100"/>
      <c r="Q56" s="14">
        <f>N19</f>
        <v>5515440</v>
      </c>
      <c r="R56" s="56" t="s">
        <v>3750</v>
      </c>
      <c r="AF56" s="103">
        <v>37</v>
      </c>
      <c r="AG56" s="117" t="s">
        <v>4048</v>
      </c>
      <c r="AH56" s="117">
        <v>4100000</v>
      </c>
      <c r="AI56" s="103">
        <v>0</v>
      </c>
      <c r="AJ56" s="103">
        <f t="shared" si="4"/>
        <v>33</v>
      </c>
      <c r="AK56" s="117">
        <f t="shared" si="5"/>
        <v>135300000</v>
      </c>
      <c r="AL56" s="103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315</v>
      </c>
      <c r="L57" s="1">
        <v>50000</v>
      </c>
      <c r="M57" s="100"/>
      <c r="N57" s="100"/>
      <c r="Q57" s="14">
        <v>1200000</v>
      </c>
      <c r="R57" s="56" t="s">
        <v>1158</v>
      </c>
      <c r="AF57" s="103">
        <v>38</v>
      </c>
      <c r="AG57" s="117" t="s">
        <v>4054</v>
      </c>
      <c r="AH57" s="117">
        <v>4100000</v>
      </c>
      <c r="AI57" s="103">
        <v>1</v>
      </c>
      <c r="AJ57" s="103">
        <f t="shared" si="4"/>
        <v>33</v>
      </c>
      <c r="AK57" s="117">
        <f t="shared" si="5"/>
        <v>135300000</v>
      </c>
      <c r="AL57" s="103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316</v>
      </c>
      <c r="L58" s="1">
        <v>90000</v>
      </c>
      <c r="M58" s="100"/>
      <c r="N58" s="100"/>
      <c r="Q58" s="121">
        <v>97000000</v>
      </c>
      <c r="R58" s="56" t="s">
        <v>4139</v>
      </c>
      <c r="AF58" s="103">
        <v>39</v>
      </c>
      <c r="AG58" s="117" t="s">
        <v>4069</v>
      </c>
      <c r="AH58" s="117">
        <v>790000</v>
      </c>
      <c r="AI58" s="103">
        <v>15</v>
      </c>
      <c r="AJ58" s="103">
        <f t="shared" si="4"/>
        <v>32</v>
      </c>
      <c r="AK58" s="117">
        <f t="shared" si="5"/>
        <v>25280000</v>
      </c>
      <c r="AL58" s="103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317</v>
      </c>
      <c r="L59" s="1">
        <v>50000</v>
      </c>
      <c r="M59" s="100"/>
      <c r="N59" s="100"/>
      <c r="Q59" s="121">
        <f>N24</f>
        <v>4000000</v>
      </c>
      <c r="R59" s="56" t="s">
        <v>4140</v>
      </c>
      <c r="AF59" s="189">
        <v>40</v>
      </c>
      <c r="AG59" s="188" t="s">
        <v>4100</v>
      </c>
      <c r="AH59" s="188">
        <v>-3865000</v>
      </c>
      <c r="AI59" s="189">
        <v>6</v>
      </c>
      <c r="AJ59" s="189">
        <f t="shared" si="4"/>
        <v>17</v>
      </c>
      <c r="AK59" s="191">
        <f t="shared" si="5"/>
        <v>-65705000</v>
      </c>
      <c r="AL59" s="189" t="s">
        <v>4131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327</v>
      </c>
      <c r="L60" s="1">
        <v>150000</v>
      </c>
      <c r="M60" s="100"/>
      <c r="N60" s="100"/>
      <c r="Q60" s="121"/>
      <c r="R60" s="56"/>
      <c r="AF60" s="20">
        <v>41</v>
      </c>
      <c r="AG60" s="121" t="s">
        <v>4148</v>
      </c>
      <c r="AH60" s="121">
        <v>18800000</v>
      </c>
      <c r="AI60" s="20">
        <v>3</v>
      </c>
      <c r="AJ60" s="103">
        <f t="shared" si="4"/>
        <v>11</v>
      </c>
      <c r="AK60" s="117">
        <f t="shared" si="5"/>
        <v>206800000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318</v>
      </c>
      <c r="L61" s="1">
        <v>15000</v>
      </c>
      <c r="Q61" s="14">
        <v>2500000</v>
      </c>
      <c r="R61" s="56" t="s">
        <v>1150</v>
      </c>
      <c r="AF61" s="20">
        <v>42</v>
      </c>
      <c r="AG61" s="121" t="s">
        <v>4169</v>
      </c>
      <c r="AH61" s="121">
        <v>500000</v>
      </c>
      <c r="AI61" s="20">
        <v>1</v>
      </c>
      <c r="AJ61" s="103">
        <f t="shared" si="4"/>
        <v>8</v>
      </c>
      <c r="AK61" s="117">
        <f t="shared" si="5"/>
        <v>4000000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319</v>
      </c>
      <c r="L62" s="1">
        <v>20000</v>
      </c>
      <c r="Q62" s="121">
        <v>1200000</v>
      </c>
      <c r="R62" s="56" t="s">
        <v>3940</v>
      </c>
      <c r="AF62" s="20">
        <v>43</v>
      </c>
      <c r="AG62" s="121" t="s">
        <v>4173</v>
      </c>
      <c r="AH62" s="121">
        <v>200000</v>
      </c>
      <c r="AI62" s="20">
        <v>3</v>
      </c>
      <c r="AJ62" s="103">
        <f>AJ63+AI62</f>
        <v>7</v>
      </c>
      <c r="AK62" s="117">
        <f t="shared" si="5"/>
        <v>1400000</v>
      </c>
      <c r="AL62" s="20"/>
    </row>
    <row r="63" spans="1:38" x14ac:dyDescent="0.25">
      <c r="E63" s="26"/>
      <c r="K63" s="32" t="s">
        <v>320</v>
      </c>
      <c r="L63" s="1">
        <v>40000</v>
      </c>
      <c r="Q63" s="14"/>
      <c r="R63" s="56"/>
      <c r="AF63" s="20">
        <v>44</v>
      </c>
      <c r="AG63" s="121" t="s">
        <v>4180</v>
      </c>
      <c r="AH63" s="121">
        <v>1000000</v>
      </c>
      <c r="AI63" s="20">
        <v>3</v>
      </c>
      <c r="AJ63" s="103">
        <f t="shared" si="4"/>
        <v>4</v>
      </c>
      <c r="AK63" s="117">
        <f t="shared" si="5"/>
        <v>4000000</v>
      </c>
      <c r="AL63" s="20"/>
    </row>
    <row r="64" spans="1:38" x14ac:dyDescent="0.25">
      <c r="E64" s="26"/>
      <c r="K64" s="32" t="s">
        <v>322</v>
      </c>
      <c r="L64" s="1">
        <v>150000</v>
      </c>
      <c r="Q64" s="121"/>
      <c r="R64" s="56"/>
      <c r="AF64" s="20">
        <v>45</v>
      </c>
      <c r="AG64" s="121" t="s">
        <v>4196</v>
      </c>
      <c r="AH64" s="121">
        <v>1300000</v>
      </c>
      <c r="AI64" s="20">
        <v>0</v>
      </c>
      <c r="AJ64" s="103">
        <f>AJ65+AI64</f>
        <v>1</v>
      </c>
      <c r="AK64" s="121">
        <f t="shared" si="5"/>
        <v>1300000</v>
      </c>
      <c r="AL64" s="20"/>
    </row>
    <row r="65" spans="1:38" x14ac:dyDescent="0.25">
      <c r="K65" s="32" t="s">
        <v>324</v>
      </c>
      <c r="L65" s="1">
        <v>75000</v>
      </c>
      <c r="Q65" s="121"/>
      <c r="R65" s="56"/>
      <c r="AF65" s="20">
        <v>45</v>
      </c>
      <c r="AG65" s="121" t="s">
        <v>4196</v>
      </c>
      <c r="AH65" s="121">
        <v>995000</v>
      </c>
      <c r="AI65" s="20">
        <v>1</v>
      </c>
      <c r="AJ65" s="103">
        <f t="shared" ref="AJ65:AJ73" si="12">AJ66+AI65</f>
        <v>1</v>
      </c>
      <c r="AK65" s="121"/>
      <c r="AL65" s="20"/>
    </row>
    <row r="66" spans="1:38" x14ac:dyDescent="0.25">
      <c r="K66" s="32" t="s">
        <v>314</v>
      </c>
      <c r="L66" s="1">
        <v>140000</v>
      </c>
      <c r="Q66" s="121"/>
      <c r="R66" s="56"/>
      <c r="AF66" s="20"/>
      <c r="AG66" s="121"/>
      <c r="AH66" s="121"/>
      <c r="AI66" s="20">
        <v>0</v>
      </c>
      <c r="AJ66" s="103">
        <f t="shared" si="12"/>
        <v>0</v>
      </c>
      <c r="AK66" s="121"/>
      <c r="AL66" s="20"/>
    </row>
    <row r="67" spans="1:38" x14ac:dyDescent="0.25">
      <c r="A67" t="s">
        <v>25</v>
      </c>
      <c r="F67" t="s">
        <v>310</v>
      </c>
      <c r="G67" t="s">
        <v>4188</v>
      </c>
      <c r="K67" s="2" t="s">
        <v>478</v>
      </c>
      <c r="L67" s="3">
        <v>1083333</v>
      </c>
      <c r="Q67" s="121"/>
      <c r="R67" s="56"/>
      <c r="AF67" s="20"/>
      <c r="AG67" s="121"/>
      <c r="AH67" s="121"/>
      <c r="AI67" s="20">
        <v>0</v>
      </c>
      <c r="AJ67" s="103">
        <f t="shared" si="12"/>
        <v>0</v>
      </c>
      <c r="AK67" s="121"/>
      <c r="AL67" s="20"/>
    </row>
    <row r="68" spans="1:38" x14ac:dyDescent="0.25">
      <c r="F68" t="s">
        <v>4192</v>
      </c>
      <c r="G68" t="s">
        <v>4187</v>
      </c>
      <c r="K68" s="2"/>
      <c r="L68" s="3"/>
      <c r="Q68" s="121"/>
      <c r="R68" s="56"/>
      <c r="AF68" s="20"/>
      <c r="AG68" s="121"/>
      <c r="AH68" s="121"/>
      <c r="AI68" s="20">
        <v>0</v>
      </c>
      <c r="AJ68" s="103">
        <f t="shared" si="12"/>
        <v>0</v>
      </c>
      <c r="AK68" s="121"/>
      <c r="AL68" s="20"/>
    </row>
    <row r="69" spans="1:38" x14ac:dyDescent="0.25">
      <c r="F69" t="s">
        <v>4193</v>
      </c>
      <c r="G69" t="s">
        <v>4189</v>
      </c>
      <c r="K69" s="2"/>
      <c r="L69" s="3"/>
      <c r="Q69" s="117">
        <f>SUM(Q53:Q67)</f>
        <v>113700883</v>
      </c>
      <c r="R69" s="56" t="s">
        <v>1160</v>
      </c>
      <c r="AF69" s="20"/>
      <c r="AG69" s="121"/>
      <c r="AH69" s="121"/>
      <c r="AI69" s="20">
        <v>0</v>
      </c>
      <c r="AJ69" s="103">
        <f t="shared" si="12"/>
        <v>0</v>
      </c>
      <c r="AK69" s="121"/>
      <c r="AL69" s="20"/>
    </row>
    <row r="70" spans="1:38" x14ac:dyDescent="0.25">
      <c r="G70" t="s">
        <v>4190</v>
      </c>
      <c r="K70" s="2" t="s">
        <v>6</v>
      </c>
      <c r="L70" s="3">
        <f>SUM(L47:L68)</f>
        <v>3383333</v>
      </c>
      <c r="P70" s="119"/>
      <c r="Q70" s="121"/>
      <c r="R70" s="56"/>
      <c r="AF70" s="20"/>
      <c r="AG70" s="121"/>
      <c r="AH70" s="121"/>
      <c r="AI70" s="20">
        <v>0</v>
      </c>
      <c r="AJ70" s="103">
        <f t="shared" si="12"/>
        <v>0</v>
      </c>
      <c r="AK70" s="121"/>
      <c r="AL70" s="20"/>
    </row>
    <row r="71" spans="1:38" x14ac:dyDescent="0.25">
      <c r="G71" t="s">
        <v>4191</v>
      </c>
      <c r="K71" s="2" t="s">
        <v>328</v>
      </c>
      <c r="L71" s="3">
        <f>L70/30</f>
        <v>112777.76666666666</v>
      </c>
      <c r="P71" s="132"/>
      <c r="Q71" s="121"/>
      <c r="R71" s="56"/>
      <c r="AF71" s="20"/>
      <c r="AG71" s="121"/>
      <c r="AH71" s="121"/>
      <c r="AI71" s="20"/>
      <c r="AJ71" s="103">
        <f t="shared" si="12"/>
        <v>0</v>
      </c>
      <c r="AK71" s="121"/>
      <c r="AL71" s="20"/>
    </row>
    <row r="72" spans="1:38" x14ac:dyDescent="0.25">
      <c r="G72" t="s">
        <v>4195</v>
      </c>
      <c r="O72" s="119"/>
      <c r="P72" s="132"/>
      <c r="W72" s="119"/>
      <c r="AF72" s="103"/>
      <c r="AG72" s="117"/>
      <c r="AH72" s="117"/>
      <c r="AI72" s="103"/>
      <c r="AJ72" s="103">
        <f t="shared" si="12"/>
        <v>0</v>
      </c>
      <c r="AK72" s="103"/>
      <c r="AL72" s="103"/>
    </row>
    <row r="73" spans="1:38" x14ac:dyDescent="0.25">
      <c r="G73" t="s">
        <v>4194</v>
      </c>
      <c r="O73" s="119"/>
      <c r="P73" s="119"/>
      <c r="W73" s="176"/>
      <c r="AF73" s="103"/>
      <c r="AG73" s="117"/>
      <c r="AH73" s="117"/>
      <c r="AI73" s="103"/>
      <c r="AJ73" s="103">
        <f t="shared" si="12"/>
        <v>0</v>
      </c>
      <c r="AK73" s="103"/>
      <c r="AL73" s="103"/>
    </row>
    <row r="74" spans="1:38" x14ac:dyDescent="0.25">
      <c r="W74" s="119"/>
      <c r="X74" s="119"/>
      <c r="Y74" s="119"/>
      <c r="Z74" s="119"/>
      <c r="AA74" s="119"/>
      <c r="AB74" s="119"/>
      <c r="AC74" s="119"/>
      <c r="AD74" s="119"/>
      <c r="AF74" s="103"/>
      <c r="AG74" s="103"/>
      <c r="AH74" s="99">
        <f>SUM(AH20:AH72)</f>
        <v>76901899</v>
      </c>
      <c r="AI74" s="103"/>
      <c r="AJ74" s="103"/>
      <c r="AK74" s="99">
        <f>SUM(AK20:AK64)</f>
        <v>5502029680</v>
      </c>
      <c r="AL74" s="99">
        <f>AK74*AL77/31</f>
        <v>3549696.5677419356</v>
      </c>
    </row>
    <row r="75" spans="1:38" x14ac:dyDescent="0.25"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4127</v>
      </c>
      <c r="AI75" s="103"/>
      <c r="AJ75" s="103"/>
      <c r="AK75" s="103" t="s">
        <v>284</v>
      </c>
      <c r="AL75" s="103" t="s">
        <v>918</v>
      </c>
    </row>
    <row r="76" spans="1:38" x14ac:dyDescent="0.25">
      <c r="S76" s="119"/>
      <c r="T76" s="119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 x14ac:dyDescent="0.25">
      <c r="K77" s="48" t="s">
        <v>790</v>
      </c>
      <c r="L77" s="48" t="s">
        <v>476</v>
      </c>
      <c r="Q77" s="119"/>
      <c r="R77" s="119"/>
      <c r="S77" s="119"/>
      <c r="T77" s="119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4128</v>
      </c>
      <c r="AL77" s="103">
        <v>0.02</v>
      </c>
    </row>
    <row r="78" spans="1:38" x14ac:dyDescent="0.25">
      <c r="K78" s="47">
        <v>700000</v>
      </c>
      <c r="L78" s="48" t="s">
        <v>1042</v>
      </c>
      <c r="Q78" s="126"/>
      <c r="R78" s="119"/>
      <c r="S78" s="119"/>
      <c r="T78" s="119"/>
      <c r="W78" s="119"/>
      <c r="X78" s="132"/>
      <c r="Y78" s="119"/>
      <c r="Z78" s="119"/>
      <c r="AA78" s="119"/>
      <c r="AB78" s="132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 x14ac:dyDescent="0.25">
      <c r="K79" s="47">
        <v>500000</v>
      </c>
      <c r="L79" s="48" t="s">
        <v>479</v>
      </c>
      <c r="Q79" s="126"/>
      <c r="R79" s="132"/>
      <c r="S79" s="126"/>
      <c r="W79" s="119"/>
      <c r="X79" s="132"/>
      <c r="Y79" s="119"/>
      <c r="Z79" s="119"/>
      <c r="AA79" s="119"/>
      <c r="AB79" s="132"/>
      <c r="AC79" s="119"/>
      <c r="AD79" s="119"/>
      <c r="AF79" s="103"/>
      <c r="AG79" s="103" t="s">
        <v>4129</v>
      </c>
      <c r="AH79" s="99">
        <f>AH74+AL74</f>
        <v>80451595.56774193</v>
      </c>
      <c r="AI79" s="103"/>
      <c r="AJ79" s="103"/>
      <c r="AK79" s="103"/>
      <c r="AL79" s="103"/>
    </row>
    <row r="80" spans="1:38" x14ac:dyDescent="0.25">
      <c r="K80" s="47">
        <v>180000</v>
      </c>
      <c r="L80" s="48" t="s">
        <v>558</v>
      </c>
      <c r="Q80" s="126"/>
      <c r="R80" s="119"/>
      <c r="W80" s="119"/>
      <c r="X80" s="132"/>
      <c r="Y80" s="119"/>
      <c r="Z80" s="119"/>
      <c r="AA80" s="119"/>
      <c r="AB80" s="132"/>
      <c r="AC80" s="119"/>
      <c r="AD80" s="119"/>
      <c r="AG80" t="s">
        <v>4132</v>
      </c>
      <c r="AH80" s="118">
        <f>Z44</f>
        <v>100556832.06954627</v>
      </c>
    </row>
    <row r="81" spans="11:35" x14ac:dyDescent="0.25">
      <c r="K81" s="47">
        <v>0</v>
      </c>
      <c r="L81" s="48" t="s">
        <v>786</v>
      </c>
      <c r="Q81" s="126"/>
      <c r="W81" s="119"/>
      <c r="X81" s="119"/>
      <c r="Y81" s="119"/>
      <c r="Z81" s="119"/>
      <c r="AA81" s="119"/>
      <c r="AB81" s="119"/>
      <c r="AC81" s="119"/>
      <c r="AD81" s="119"/>
      <c r="AG81" t="s">
        <v>4133</v>
      </c>
      <c r="AH81" s="118">
        <f>AH80-AH79</f>
        <v>20105236.501804337</v>
      </c>
    </row>
    <row r="82" spans="11:35" x14ac:dyDescent="0.25">
      <c r="K82" s="47">
        <v>0</v>
      </c>
      <c r="L82" s="48" t="s">
        <v>787</v>
      </c>
      <c r="W82" s="119"/>
      <c r="X82" s="119"/>
      <c r="Y82" s="119"/>
      <c r="Z82" s="119"/>
      <c r="AA82" s="119"/>
      <c r="AB82" s="119"/>
      <c r="AC82" s="119"/>
      <c r="AD82" s="119"/>
      <c r="AH82">
        <f>(AH80-AH74)/AH74</f>
        <v>0.30759881585689147</v>
      </c>
    </row>
    <row r="83" spans="11:35" x14ac:dyDescent="0.25">
      <c r="K83" s="47">
        <v>500000</v>
      </c>
      <c r="L83" s="48" t="s">
        <v>788</v>
      </c>
      <c r="W83" s="119"/>
      <c r="X83" s="119"/>
      <c r="Y83" s="119"/>
      <c r="Z83" s="119"/>
      <c r="AA83" s="119"/>
      <c r="AB83" s="119"/>
      <c r="AC83" s="119"/>
      <c r="AD83" s="119"/>
      <c r="AI83">
        <f>AH81/AH79</f>
        <v>0.24990475776052579</v>
      </c>
    </row>
    <row r="84" spans="11:35" x14ac:dyDescent="0.25">
      <c r="K84" s="47">
        <v>75000</v>
      </c>
      <c r="L84" s="48" t="s">
        <v>789</v>
      </c>
      <c r="Q84" s="22"/>
      <c r="X84" s="119"/>
      <c r="Y84" s="119"/>
      <c r="Z84" s="119"/>
      <c r="AA84" s="119"/>
      <c r="AB84" s="132"/>
      <c r="AC84" s="119"/>
      <c r="AD84" s="119"/>
    </row>
    <row r="85" spans="11:35" x14ac:dyDescent="0.25">
      <c r="K85" s="47">
        <v>0</v>
      </c>
      <c r="L85" s="48" t="s">
        <v>791</v>
      </c>
      <c r="X85" s="119"/>
      <c r="Y85" s="119"/>
      <c r="Z85" s="119"/>
      <c r="AA85" s="119"/>
      <c r="AB85" s="119"/>
      <c r="AC85" s="119"/>
      <c r="AD85" s="119"/>
    </row>
    <row r="86" spans="11:35" x14ac:dyDescent="0.25">
      <c r="K86" s="47">
        <v>500000</v>
      </c>
      <c r="L86" s="48" t="s">
        <v>564</v>
      </c>
    </row>
    <row r="87" spans="11:35" x14ac:dyDescent="0.25">
      <c r="K87" s="47">
        <v>50000</v>
      </c>
      <c r="L87" s="48" t="s">
        <v>794</v>
      </c>
    </row>
    <row r="88" spans="11:35" x14ac:dyDescent="0.25">
      <c r="K88" s="47">
        <v>140000</v>
      </c>
      <c r="L88" s="48" t="s">
        <v>314</v>
      </c>
    </row>
    <row r="89" spans="11:35" x14ac:dyDescent="0.25">
      <c r="K89" s="47"/>
      <c r="L89" s="48" t="s">
        <v>25</v>
      </c>
    </row>
    <row r="90" spans="11:35" x14ac:dyDescent="0.25">
      <c r="K90" s="47">
        <f>SUM(K78:K89)</f>
        <v>2645000</v>
      </c>
      <c r="L90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4087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4011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4013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4088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4048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4086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4084</v>
      </c>
      <c r="B41" s="117">
        <v>-315101</v>
      </c>
      <c r="C41" s="103" t="s">
        <v>4085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3720</v>
      </c>
      <c r="B42" s="117">
        <v>-416000</v>
      </c>
      <c r="C42" s="103" t="s">
        <v>4094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2018-09-09T10:20:41Z</dcterms:modified>
</cp:coreProperties>
</file>