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K104" i="18" l="1"/>
  <c r="D77" i="52" l="1"/>
  <c r="I21" i="60"/>
  <c r="P132" i="52" l="1"/>
  <c r="O132" i="52"/>
  <c r="P142" i="18"/>
  <c r="W232" i="18"/>
  <c r="V240" i="18"/>
  <c r="P131" i="52" l="1"/>
  <c r="O131" i="52"/>
  <c r="H3" i="60"/>
  <c r="H4" i="60"/>
  <c r="H5" i="60"/>
  <c r="H2" i="60"/>
  <c r="G9" i="60"/>
  <c r="G7" i="60"/>
  <c r="O130" i="52" l="1"/>
  <c r="O129" i="52"/>
  <c r="W231" i="18"/>
  <c r="L41" i="18"/>
  <c r="S189" i="18"/>
  <c r="W230" i="18"/>
  <c r="AL285" i="18" l="1"/>
  <c r="AM285" i="18" s="1"/>
  <c r="N129" i="52"/>
  <c r="P129" i="52" s="1"/>
  <c r="AL284" i="18" l="1"/>
  <c r="P127" i="52"/>
  <c r="O127" i="52"/>
  <c r="N29" i="60"/>
  <c r="AM284" i="18" l="1"/>
  <c r="AL283" i="18"/>
  <c r="P126" i="52"/>
  <c r="J126" i="52"/>
  <c r="O126" i="52"/>
  <c r="W229" i="18"/>
  <c r="AM283" i="18" l="1"/>
  <c r="AL282" i="18"/>
  <c r="O125" i="52"/>
  <c r="J125" i="52"/>
  <c r="AM282" i="18" l="1"/>
  <c r="AL281" i="18"/>
  <c r="U234" i="18"/>
  <c r="W228" i="18"/>
  <c r="AM281" i="18" l="1"/>
  <c r="AL280" i="18"/>
  <c r="J124" i="52"/>
  <c r="N125" i="52"/>
  <c r="O146" i="52"/>
  <c r="O145" i="52"/>
  <c r="O144" i="52"/>
  <c r="O143" i="52"/>
  <c r="O142" i="52"/>
  <c r="O141" i="52"/>
  <c r="O140" i="52"/>
  <c r="O139" i="52"/>
  <c r="O138" i="52"/>
  <c r="O137" i="52"/>
  <c r="O136" i="52"/>
  <c r="O135" i="52"/>
  <c r="O134" i="52"/>
  <c r="O133" i="52"/>
  <c r="O128" i="52"/>
  <c r="O124" i="52"/>
  <c r="N124" i="52"/>
  <c r="N126" i="52"/>
  <c r="N127" i="52"/>
  <c r="N128" i="52"/>
  <c r="N130" i="52"/>
  <c r="P130" i="52" s="1"/>
  <c r="N131" i="52"/>
  <c r="N132" i="52"/>
  <c r="N133" i="52"/>
  <c r="N134" i="52"/>
  <c r="N135" i="52"/>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7" i="18"/>
  <c r="P135" i="52" l="1"/>
  <c r="P134" i="52"/>
  <c r="AM280" i="18"/>
  <c r="AL279" i="18"/>
  <c r="P128" i="52"/>
  <c r="P145" i="52"/>
  <c r="P141" i="52"/>
  <c r="P137" i="52"/>
  <c r="P133" i="52"/>
  <c r="P125" i="52"/>
  <c r="O123" i="52"/>
  <c r="N123" i="52"/>
  <c r="P124" i="52" s="1"/>
  <c r="J123" i="52"/>
  <c r="AM279" i="18" l="1"/>
  <c r="AL278" i="18"/>
  <c r="W226" i="18"/>
  <c r="AL277" i="18" l="1"/>
  <c r="AM278" i="18"/>
  <c r="D71" i="58"/>
  <c r="AM277" i="18" l="1"/>
  <c r="AL276" i="18"/>
  <c r="O121" i="52"/>
  <c r="J121" i="52"/>
  <c r="W225" i="18"/>
  <c r="AM276" i="18" l="1"/>
  <c r="AL275" i="18"/>
  <c r="W224" i="18"/>
  <c r="J120" i="52"/>
  <c r="M99" i="18"/>
  <c r="AM275" i="18" l="1"/>
  <c r="AL274" i="18"/>
  <c r="AM274" i="18" l="1"/>
  <c r="AL273" i="18"/>
  <c r="O117" i="52"/>
  <c r="AM273" i="18" l="1"/>
  <c r="AL272" i="18"/>
  <c r="O116" i="52"/>
  <c r="N116" i="52"/>
  <c r="AL271" i="18" l="1"/>
  <c r="AM272" i="18"/>
  <c r="W22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2" i="18"/>
  <c r="J108" i="52"/>
  <c r="AM263" i="18" l="1"/>
  <c r="AL262" i="18"/>
  <c r="D303" i="15"/>
  <c r="F304" i="15"/>
  <c r="W221" i="18"/>
  <c r="W220" i="18"/>
  <c r="AM262" i="18" l="1"/>
  <c r="AL261" i="18"/>
  <c r="F303" i="15"/>
  <c r="D302" i="15"/>
  <c r="O106" i="52"/>
  <c r="J106" i="52"/>
  <c r="D301" i="15" l="1"/>
  <c r="F302" i="15"/>
  <c r="J104" i="52"/>
  <c r="G116" i="18"/>
  <c r="E276" i="15"/>
  <c r="E277" i="15"/>
  <c r="E278" i="15"/>
  <c r="E279" i="15"/>
  <c r="E280" i="15"/>
  <c r="D300" i="15" l="1"/>
  <c r="F301" i="15"/>
  <c r="W21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8"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7" i="18"/>
  <c r="J90" i="52"/>
  <c r="J95" i="52"/>
  <c r="W21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2" i="18"/>
  <c r="T250" i="18" s="1"/>
  <c r="W216" i="18"/>
  <c r="W215" i="18"/>
  <c r="W214" i="18"/>
  <c r="M48" i="52"/>
  <c r="M47" i="52"/>
  <c r="N38" i="52"/>
  <c r="N37" i="52"/>
  <c r="M49" i="52"/>
  <c r="N50" i="52" s="1"/>
  <c r="AM252" i="18" l="1"/>
  <c r="AL251" i="18"/>
  <c r="D287" i="15"/>
  <c r="F288" i="15"/>
  <c r="N49" i="52"/>
  <c r="W213" i="18"/>
  <c r="AM251" i="18" l="1"/>
  <c r="AL250" i="18"/>
  <c r="F287" i="15"/>
  <c r="D286" i="15"/>
  <c r="J117" i="18"/>
  <c r="J116" i="18"/>
  <c r="G115" i="18"/>
  <c r="J115" i="18" s="1"/>
  <c r="J114" i="18"/>
  <c r="J118" i="18" l="1"/>
  <c r="AL249" i="18"/>
  <c r="AM250" i="18"/>
  <c r="D285" i="15"/>
  <c r="F286" i="15"/>
  <c r="W21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247" i="18" l="1"/>
  <c r="AL246" i="18"/>
  <c r="F283" i="15"/>
  <c r="D282" i="15"/>
  <c r="G32" i="57"/>
  <c r="H32" i="57"/>
  <c r="D32" i="57"/>
  <c r="I32" i="57" s="1"/>
  <c r="D345" i="20"/>
  <c r="W210" i="18"/>
  <c r="W209" i="18"/>
  <c r="AL245" i="18" l="1"/>
  <c r="AM246" i="18"/>
  <c r="D281" i="15"/>
  <c r="F282" i="15"/>
  <c r="W145" i="18"/>
  <c r="W14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8" i="18"/>
  <c r="D343" i="20"/>
  <c r="F279" i="15" l="1"/>
  <c r="D278" i="15"/>
  <c r="W207" i="18"/>
  <c r="D342" i="20"/>
  <c r="J83" i="52"/>
  <c r="O83" i="52"/>
  <c r="W206" i="18"/>
  <c r="W205" i="18"/>
  <c r="F44" i="14"/>
  <c r="F45" i="14"/>
  <c r="F46" i="14"/>
  <c r="F47" i="14"/>
  <c r="F48" i="14"/>
  <c r="F49" i="14"/>
  <c r="F50" i="14"/>
  <c r="D341" i="20"/>
  <c r="F278" i="15" l="1"/>
  <c r="D277" i="15"/>
  <c r="AJ286" i="18"/>
  <c r="D276" i="15" l="1"/>
  <c r="F276" i="15" s="1"/>
  <c r="F277" i="15"/>
  <c r="W204" i="18"/>
  <c r="D340" i="20" l="1"/>
  <c r="W203" i="18"/>
  <c r="H337" i="20"/>
  <c r="H338" i="20"/>
  <c r="H339" i="20"/>
  <c r="H340" i="20"/>
  <c r="H341" i="20"/>
  <c r="H368" i="20"/>
  <c r="H369" i="20"/>
  <c r="D339" i="20"/>
  <c r="O62" i="18" l="1"/>
  <c r="O61" i="18"/>
  <c r="O60" i="18"/>
  <c r="B371" i="20"/>
  <c r="D332" i="20"/>
  <c r="D333" i="20"/>
  <c r="D334" i="20"/>
  <c r="D335" i="20"/>
  <c r="D336" i="20"/>
  <c r="D337" i="20"/>
  <c r="D338" i="20"/>
  <c r="D369" i="20"/>
  <c r="W202" i="18" l="1"/>
  <c r="D80" i="57"/>
  <c r="AD46" i="52" l="1"/>
  <c r="AE46" i="52"/>
  <c r="G46" i="10"/>
  <c r="D331" i="20" l="1"/>
  <c r="D330" i="20" l="1"/>
  <c r="W201" i="18" l="1"/>
  <c r="W200"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9" i="18" l="1"/>
  <c r="W198" i="18"/>
  <c r="Z40" i="52" l="1"/>
  <c r="Z39" i="52"/>
  <c r="Z38" i="52"/>
  <c r="AD38" i="52"/>
  <c r="AD39" i="52"/>
  <c r="AD40" i="52"/>
  <c r="AE40" i="52"/>
  <c r="AE39" i="52"/>
  <c r="AE38" i="52"/>
  <c r="R16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7" i="18"/>
  <c r="W196" i="18"/>
  <c r="L32" i="18"/>
  <c r="N36" i="52"/>
  <c r="N35" i="52"/>
  <c r="Q42" i="52"/>
  <c r="AD37" i="52"/>
  <c r="AD36" i="52"/>
  <c r="AD35" i="52"/>
  <c r="AD34" i="52"/>
  <c r="AD33" i="52"/>
  <c r="Z37" i="52"/>
  <c r="Z36" i="52"/>
  <c r="Z35" i="52"/>
  <c r="Z34" i="52"/>
  <c r="Z33" i="52"/>
  <c r="AE37" i="52"/>
  <c r="AE36" i="52"/>
  <c r="AE35" i="52"/>
  <c r="AE34" i="52"/>
  <c r="AE33" i="52"/>
  <c r="W195" i="18" l="1"/>
  <c r="W19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3" i="18" l="1"/>
  <c r="W192" i="18"/>
  <c r="AD31" i="52"/>
  <c r="AD30" i="52"/>
  <c r="Z31" i="52"/>
  <c r="Z30" i="52"/>
  <c r="AE31" i="52"/>
  <c r="AE30" i="52"/>
  <c r="AD29" i="52"/>
  <c r="Z29" i="52"/>
  <c r="AE29" i="52"/>
  <c r="AD28" i="52"/>
  <c r="Z28" i="52"/>
  <c r="AE28" i="52"/>
  <c r="N32" i="52"/>
  <c r="N31" i="52"/>
  <c r="W191" i="18" l="1"/>
  <c r="W190" i="18"/>
  <c r="N30" i="52"/>
  <c r="N29" i="52"/>
  <c r="AD27" i="52"/>
  <c r="Z27" i="52"/>
  <c r="AE27" i="52"/>
  <c r="W189" i="18" l="1"/>
  <c r="W188" i="18"/>
  <c r="N28" i="52"/>
  <c r="N27" i="52"/>
  <c r="AD26" i="52" l="1"/>
  <c r="AE26" i="52"/>
  <c r="N34" i="18"/>
  <c r="AL242" i="18" l="1"/>
  <c r="D313" i="20"/>
  <c r="AL241" i="18" l="1"/>
  <c r="AM242" i="18"/>
  <c r="L105" i="18"/>
  <c r="L102" i="18" s="1"/>
  <c r="N102" i="18" s="1"/>
  <c r="L101" i="18" l="1"/>
  <c r="M105" i="18"/>
  <c r="AM241" i="18"/>
  <c r="AL240" i="18"/>
  <c r="L97" i="18"/>
  <c r="W187" i="18"/>
  <c r="W186"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5" i="18"/>
  <c r="W184" i="18"/>
  <c r="N23" i="52"/>
  <c r="N22" i="52"/>
  <c r="Z24" i="52"/>
  <c r="AD24" i="52"/>
  <c r="AE24" i="52"/>
  <c r="I368" i="20" l="1"/>
  <c r="G367" i="20"/>
  <c r="J368" i="20"/>
  <c r="K368" i="20"/>
  <c r="AL237" i="18"/>
  <c r="AM238" i="18"/>
  <c r="W183" i="18"/>
  <c r="W18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1" i="18"/>
  <c r="W18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9" i="18"/>
  <c r="W17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3" i="18"/>
  <c r="AL163" i="18" l="1"/>
  <c r="AM164" i="18"/>
  <c r="I350" i="20"/>
  <c r="J350" i="20"/>
  <c r="K350" i="20"/>
  <c r="G349" i="20"/>
  <c r="AD14" i="52"/>
  <c r="AE14" i="52"/>
  <c r="AD13" i="52"/>
  <c r="AE13" i="52"/>
  <c r="Z14" i="52"/>
  <c r="D296" i="20"/>
  <c r="D295" i="20"/>
  <c r="AM163" i="18" l="1"/>
  <c r="AL162" i="18"/>
  <c r="K349" i="20"/>
  <c r="I349" i="20"/>
  <c r="J349" i="20"/>
  <c r="G348" i="20"/>
  <c r="W172" i="18"/>
  <c r="W17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7" i="18"/>
  <c r="S13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2" i="18"/>
  <c r="W165" i="18"/>
  <c r="D278" i="20"/>
  <c r="AL140" i="18" l="1"/>
  <c r="AM141" i="18"/>
  <c r="J327" i="20"/>
  <c r="K327" i="20"/>
  <c r="G326" i="20"/>
  <c r="I327" i="20"/>
  <c r="W14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4" i="18"/>
  <c r="AM120" i="18" l="1"/>
  <c r="AL119" i="18"/>
  <c r="AM119" i="18" l="1"/>
  <c r="AL118" i="18"/>
  <c r="T140" i="18"/>
  <c r="S58" i="18"/>
  <c r="S59" i="18" s="1"/>
  <c r="S60" i="18" s="1"/>
  <c r="R161" i="18"/>
  <c r="R159" i="18"/>
  <c r="D57" i="51"/>
  <c r="AL117" i="18" l="1"/>
  <c r="AM118" i="18"/>
  <c r="S61" i="18"/>
  <c r="S62" i="18" s="1"/>
  <c r="AM117" i="18" l="1"/>
  <c r="AL116" i="18"/>
  <c r="S63" i="18"/>
  <c r="S64" i="18" s="1"/>
  <c r="S65" i="18" s="1"/>
  <c r="N27" i="18"/>
  <c r="Q75" i="18" s="1"/>
  <c r="R15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S69" i="18" s="1"/>
  <c r="S70" i="18" s="1"/>
  <c r="AL112" i="18"/>
  <c r="AM113" i="18"/>
  <c r="N42" i="18"/>
  <c r="M100" i="18" s="1"/>
  <c r="S71" i="18" l="1"/>
  <c r="S72" i="18" s="1"/>
  <c r="S73"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3" i="18" s="1"/>
  <c r="S48" i="18" l="1"/>
  <c r="S49" i="18" s="1"/>
  <c r="S50" i="18" s="1"/>
  <c r="S51" i="18" s="1"/>
  <c r="R157" i="18"/>
  <c r="AJ290" i="18"/>
  <c r="AJ291" i="18" s="1"/>
  <c r="AM94" i="18"/>
  <c r="AL93" i="18"/>
  <c r="AL209" i="18"/>
  <c r="AM210" i="18"/>
  <c r="AL92" i="18" l="1"/>
  <c r="AM93" i="18"/>
  <c r="AL208" i="18"/>
  <c r="AM209" i="18"/>
  <c r="S85" i="18"/>
  <c r="S8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7" i="18"/>
  <c r="S88" i="18" s="1"/>
  <c r="AL85" i="18" l="1"/>
  <c r="AM86" i="18"/>
  <c r="S89" i="18"/>
  <c r="S90" i="18" s="1"/>
  <c r="S91" i="18" s="1"/>
  <c r="S92" i="18" s="1"/>
  <c r="AL201" i="18"/>
  <c r="AM202" i="18"/>
  <c r="N25" i="33"/>
  <c r="N24" i="33"/>
  <c r="N21" i="33"/>
  <c r="N20" i="33"/>
  <c r="N19" i="33"/>
  <c r="N18" i="33"/>
  <c r="L18" i="33" s="1"/>
  <c r="N17" i="33"/>
  <c r="N9" i="33"/>
  <c r="N3" i="33"/>
  <c r="N4" i="33"/>
  <c r="AL84" i="18" l="1"/>
  <c r="AM85" i="18"/>
  <c r="AM201" i="18"/>
  <c r="AL200"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S100" i="18" s="1"/>
  <c r="S101" i="18" s="1"/>
  <c r="S102" i="18" s="1"/>
  <c r="S103" i="18" s="1"/>
  <c r="G306" i="20"/>
  <c r="J307" i="20"/>
  <c r="I307" i="20"/>
  <c r="K307" i="20"/>
  <c r="AL75" i="18"/>
  <c r="AM76" i="18"/>
  <c r="N43" i="18"/>
  <c r="Q132" i="18" l="1"/>
  <c r="R156" i="18"/>
  <c r="R166" i="18" s="1"/>
  <c r="M97" i="18"/>
  <c r="N97" i="18" s="1"/>
  <c r="N105" i="18" s="1"/>
  <c r="AJ186" i="18"/>
  <c r="AJ187" i="18" s="1"/>
  <c r="S104" i="18"/>
  <c r="G305" i="20"/>
  <c r="I306" i="20"/>
  <c r="K306" i="20"/>
  <c r="J306" i="20"/>
  <c r="AL74" i="18"/>
  <c r="AM75" i="18"/>
  <c r="T237" i="18" l="1"/>
  <c r="S145" i="18" s="1"/>
  <c r="U250" i="18"/>
  <c r="S105" i="18"/>
  <c r="S106" i="18" s="1"/>
  <c r="S107" i="18" s="1"/>
  <c r="S108" i="18" s="1"/>
  <c r="S109" i="18" s="1"/>
  <c r="G304" i="20"/>
  <c r="I305" i="20"/>
  <c r="K305" i="20"/>
  <c r="J305" i="20"/>
  <c r="AL73" i="18"/>
  <c r="AM74" i="18"/>
  <c r="R79" i="18"/>
  <c r="V50" i="18" l="1"/>
  <c r="W50" i="18" s="1"/>
  <c r="V51" i="18"/>
  <c r="X50" i="18"/>
  <c r="V73" i="18"/>
  <c r="W73" i="18" s="1"/>
  <c r="V49" i="18"/>
  <c r="V48" i="18"/>
  <c r="X48" i="18" s="1"/>
  <c r="V72" i="18"/>
  <c r="V83" i="18"/>
  <c r="V47" i="18"/>
  <c r="X47" i="18" s="1"/>
  <c r="V71" i="18"/>
  <c r="V70" i="18"/>
  <c r="V69" i="18"/>
  <c r="W69" i="18" s="1"/>
  <c r="V46" i="18"/>
  <c r="V45" i="18"/>
  <c r="V44" i="18"/>
  <c r="V43" i="18"/>
  <c r="V42" i="18"/>
  <c r="V68" i="18"/>
  <c r="S110" i="18"/>
  <c r="V41" i="18"/>
  <c r="V40" i="18"/>
  <c r="W40" i="18" s="1"/>
  <c r="V67" i="18"/>
  <c r="V39" i="18"/>
  <c r="W39" i="18" s="1"/>
  <c r="V66" i="18"/>
  <c r="V65" i="18"/>
  <c r="U145" i="18"/>
  <c r="V145" i="18" s="1"/>
  <c r="V38" i="18"/>
  <c r="V37" i="18"/>
  <c r="V36" i="18"/>
  <c r="V35" i="18"/>
  <c r="V33" i="18"/>
  <c r="W33" i="18" s="1"/>
  <c r="V34" i="18"/>
  <c r="V52" i="18"/>
  <c r="V32" i="18"/>
  <c r="X32" i="18" s="1"/>
  <c r="G303" i="20"/>
  <c r="K304" i="20"/>
  <c r="I304" i="20"/>
  <c r="J304" i="20"/>
  <c r="V250" i="18"/>
  <c r="V31" i="18"/>
  <c r="W31" i="18" s="1"/>
  <c r="V107" i="18"/>
  <c r="W107" i="18" s="1"/>
  <c r="V108" i="18"/>
  <c r="V106" i="18"/>
  <c r="V30" i="18"/>
  <c r="W30" i="18" s="1"/>
  <c r="V64" i="18"/>
  <c r="V105" i="18"/>
  <c r="V103" i="18"/>
  <c r="V102" i="18"/>
  <c r="V104" i="18"/>
  <c r="V131" i="18"/>
  <c r="V100" i="18"/>
  <c r="W100" i="18" s="1"/>
  <c r="V101" i="18"/>
  <c r="V29" i="18"/>
  <c r="W29" i="18" s="1"/>
  <c r="V63" i="18"/>
  <c r="V98" i="18"/>
  <c r="W98" i="18" s="1"/>
  <c r="V99" i="18"/>
  <c r="V96" i="18"/>
  <c r="W96" i="18" s="1"/>
  <c r="V97" i="18"/>
  <c r="V95" i="18"/>
  <c r="W95" i="18" s="1"/>
  <c r="V28" i="18"/>
  <c r="V27" i="18"/>
  <c r="W27" i="18" s="1"/>
  <c r="V62" i="18"/>
  <c r="V26" i="18"/>
  <c r="X26" i="18" s="1"/>
  <c r="V61" i="18"/>
  <c r="V74" i="18"/>
  <c r="V60" i="18"/>
  <c r="V94" i="18"/>
  <c r="V59" i="18"/>
  <c r="V93" i="18"/>
  <c r="V25" i="18"/>
  <c r="V92" i="18"/>
  <c r="V24" i="18"/>
  <c r="V22" i="18"/>
  <c r="V23" i="18"/>
  <c r="W23" i="18" s="1"/>
  <c r="V91" i="18"/>
  <c r="V90" i="18"/>
  <c r="V89" i="18"/>
  <c r="V21" i="18"/>
  <c r="V88" i="18"/>
  <c r="V86" i="18"/>
  <c r="V87" i="18"/>
  <c r="V20" i="18"/>
  <c r="V84" i="18"/>
  <c r="V85" i="18"/>
  <c r="AL72" i="18"/>
  <c r="AM73" i="18"/>
  <c r="W51" i="18" l="1"/>
  <c r="X51" i="18"/>
  <c r="X73" i="18"/>
  <c r="W49" i="18"/>
  <c r="X49" i="18"/>
  <c r="W48" i="18"/>
  <c r="W72" i="18"/>
  <c r="X72" i="18"/>
  <c r="W47" i="18"/>
  <c r="W71" i="18"/>
  <c r="X71" i="18"/>
  <c r="W70" i="18"/>
  <c r="X70" i="18"/>
  <c r="X69" i="18"/>
  <c r="W46" i="18"/>
  <c r="X46" i="18"/>
  <c r="W45" i="18"/>
  <c r="X45" i="18"/>
  <c r="X42" i="18"/>
  <c r="W42" i="18"/>
  <c r="W43" i="18"/>
  <c r="X43" i="18"/>
  <c r="X44" i="18"/>
  <c r="W44" i="18"/>
  <c r="X68" i="18"/>
  <c r="W68" i="18"/>
  <c r="V109" i="18"/>
  <c r="X109" i="18" s="1"/>
  <c r="W41" i="18"/>
  <c r="X41" i="18"/>
  <c r="X40" i="18"/>
  <c r="W67" i="18"/>
  <c r="X67" i="18"/>
  <c r="X39" i="18"/>
  <c r="W65" i="18"/>
  <c r="X65" i="18"/>
  <c r="W66" i="18"/>
  <c r="X66" i="18"/>
  <c r="X38" i="18"/>
  <c r="W38" i="18"/>
  <c r="X36" i="18"/>
  <c r="W36" i="18"/>
  <c r="W37" i="18"/>
  <c r="X37" i="18"/>
  <c r="W35" i="18"/>
  <c r="X35" i="18"/>
  <c r="X33" i="18"/>
  <c r="W52" i="18"/>
  <c r="X52" i="18"/>
  <c r="W34" i="18"/>
  <c r="X34" i="18"/>
  <c r="W32" i="18"/>
  <c r="S144" i="18"/>
  <c r="R153" i="18" s="1"/>
  <c r="G302" i="20"/>
  <c r="K303" i="20"/>
  <c r="I303" i="20"/>
  <c r="J303" i="20"/>
  <c r="X31" i="18"/>
  <c r="X107" i="18"/>
  <c r="W108" i="18"/>
  <c r="X108" i="18"/>
  <c r="X30" i="18"/>
  <c r="W106" i="18"/>
  <c r="X106" i="18"/>
  <c r="W64" i="18"/>
  <c r="X64" i="18"/>
  <c r="W105" i="18"/>
  <c r="X105" i="18"/>
  <c r="W103" i="18"/>
  <c r="X103" i="18"/>
  <c r="W102" i="18"/>
  <c r="X102" i="18"/>
  <c r="W131" i="18"/>
  <c r="X131" i="18"/>
  <c r="X104" i="18"/>
  <c r="W104" i="18"/>
  <c r="X100" i="18"/>
  <c r="W101" i="18"/>
  <c r="X101" i="18"/>
  <c r="X29" i="18"/>
  <c r="W63" i="18"/>
  <c r="X63" i="18"/>
  <c r="X98" i="18"/>
  <c r="W99" i="18"/>
  <c r="X99" i="18"/>
  <c r="X96" i="18"/>
  <c r="W97" i="18"/>
  <c r="X97" i="18"/>
  <c r="X95" i="18"/>
  <c r="W28" i="18"/>
  <c r="X28" i="18"/>
  <c r="X27" i="18"/>
  <c r="W62" i="18"/>
  <c r="X62" i="18"/>
  <c r="W26" i="18"/>
  <c r="W61" i="18"/>
  <c r="X61" i="18"/>
  <c r="W60" i="18"/>
  <c r="X60" i="18"/>
  <c r="W74" i="18"/>
  <c r="X74" i="18"/>
  <c r="S143" i="18"/>
  <c r="S142" i="18"/>
  <c r="W94" i="18"/>
  <c r="X94" i="18"/>
  <c r="X59" i="18"/>
  <c r="W59" i="18"/>
  <c r="W89" i="18"/>
  <c r="X89" i="18"/>
  <c r="W92" i="18"/>
  <c r="X92" i="18"/>
  <c r="W85" i="18"/>
  <c r="X85" i="18"/>
  <c r="W90" i="18"/>
  <c r="X90" i="18"/>
  <c r="X23" i="18"/>
  <c r="W25" i="18"/>
  <c r="X25" i="18"/>
  <c r="W20" i="18"/>
  <c r="X20" i="18"/>
  <c r="W87" i="18"/>
  <c r="X87" i="18"/>
  <c r="W22" i="18"/>
  <c r="X22" i="18"/>
  <c r="X93" i="18"/>
  <c r="W93" i="18"/>
  <c r="W84" i="18"/>
  <c r="X84" i="18"/>
  <c r="W83" i="18"/>
  <c r="X83" i="18"/>
  <c r="W88" i="18"/>
  <c r="X88" i="18"/>
  <c r="W86" i="18"/>
  <c r="X86" i="18"/>
  <c r="X21" i="18"/>
  <c r="W21" i="18"/>
  <c r="W91" i="18"/>
  <c r="X91" i="18"/>
  <c r="W24" i="18"/>
  <c r="X24" i="18"/>
  <c r="AL71" i="18"/>
  <c r="AM72" i="18"/>
  <c r="U142" i="18" l="1"/>
  <c r="R152" i="18"/>
  <c r="W109" i="18"/>
  <c r="U144" i="18"/>
  <c r="V144" i="18" s="1"/>
  <c r="N30" i="18"/>
  <c r="L21" i="18" s="1"/>
  <c r="U143" i="18"/>
  <c r="V14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3" i="18" l="1"/>
  <c r="E55" i="14"/>
  <c r="G56" i="14"/>
  <c r="J292" i="20"/>
  <c r="I292" i="20"/>
  <c r="G291" i="20"/>
  <c r="K292" i="20"/>
  <c r="AM61" i="18"/>
  <c r="AL60" i="18"/>
  <c r="X113" i="18" l="1"/>
  <c r="W113"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5" i="18" l="1"/>
  <c r="S116" i="18" s="1"/>
  <c r="S117" i="18" s="1"/>
  <c r="S118" i="18" s="1"/>
  <c r="E51" i="14"/>
  <c r="G52" i="14"/>
  <c r="J288" i="20"/>
  <c r="K288" i="20"/>
  <c r="G287" i="20"/>
  <c r="I288" i="20"/>
  <c r="AL56" i="18"/>
  <c r="AM57" i="18"/>
  <c r="B105" i="13"/>
  <c r="B196" i="13" s="1"/>
  <c r="V114" i="18" l="1"/>
  <c r="W114" i="18" s="1"/>
  <c r="V115" i="18"/>
  <c r="W115"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4" i="18" l="1"/>
  <c r="X115" i="18"/>
  <c r="E49" i="14"/>
  <c r="G50" i="14"/>
  <c r="G285" i="20"/>
  <c r="J286" i="20"/>
  <c r="I286" i="20"/>
  <c r="K286" i="20"/>
  <c r="AM55" i="18"/>
  <c r="AL54" i="18"/>
  <c r="G49" i="14" l="1"/>
  <c r="E48" i="14"/>
  <c r="V116" i="18"/>
  <c r="G284" i="20"/>
  <c r="K285" i="20"/>
  <c r="J285" i="20"/>
  <c r="I285" i="20"/>
  <c r="AL53" i="18"/>
  <c r="AM54" i="18"/>
  <c r="G48" i="14" l="1"/>
  <c r="E47" i="14"/>
  <c r="W116" i="18"/>
  <c r="X116"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7" i="18"/>
  <c r="K280" i="20"/>
  <c r="G279" i="20"/>
  <c r="J280" i="20"/>
  <c r="I280" i="20"/>
  <c r="AL48" i="18"/>
  <c r="AM49" i="18"/>
  <c r="E248" i="15"/>
  <c r="G43" i="14" l="1"/>
  <c r="E42" i="14"/>
  <c r="W117" i="18"/>
  <c r="X117"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S120" i="18" s="1"/>
  <c r="I269" i="20"/>
  <c r="K269" i="20"/>
  <c r="J269" i="20"/>
  <c r="G268" i="20"/>
  <c r="AL37" i="18"/>
  <c r="AM38" i="18"/>
  <c r="J57" i="33"/>
  <c r="J55" i="33"/>
  <c r="J54" i="33"/>
  <c r="G32" i="14" l="1"/>
  <c r="E31" i="14"/>
  <c r="V118" i="18"/>
  <c r="J268" i="20"/>
  <c r="I268" i="20"/>
  <c r="G267" i="20"/>
  <c r="K268" i="20"/>
  <c r="AL36" i="18"/>
  <c r="AM37" i="18"/>
  <c r="L57" i="33"/>
  <c r="E241" i="15"/>
  <c r="G31" i="14" l="1"/>
  <c r="E30" i="14"/>
  <c r="W118" i="18"/>
  <c r="X118" i="18"/>
  <c r="I267" i="20"/>
  <c r="K267" i="20"/>
  <c r="G266" i="20"/>
  <c r="J267" i="20"/>
  <c r="AM36" i="18"/>
  <c r="AL35" i="18"/>
  <c r="D168" i="20"/>
  <c r="E29" i="14" l="1"/>
  <c r="G30" i="14"/>
  <c r="V119" i="18"/>
  <c r="W119" i="18" s="1"/>
  <c r="J266" i="20"/>
  <c r="G265" i="20"/>
  <c r="K266" i="20"/>
  <c r="I266" i="20"/>
  <c r="AL34" i="18"/>
  <c r="AM35" i="18"/>
  <c r="E240" i="15"/>
  <c r="E239" i="15"/>
  <c r="X119" i="18" l="1"/>
  <c r="G29" i="14"/>
  <c r="E28" i="14"/>
  <c r="K265" i="20"/>
  <c r="G264" i="20"/>
  <c r="J265" i="20"/>
  <c r="I265" i="20"/>
  <c r="D259" i="15"/>
  <c r="AL33" i="18"/>
  <c r="AM34" i="18"/>
  <c r="E27" i="14" l="1"/>
  <c r="G28" i="14"/>
  <c r="G263" i="20"/>
  <c r="K264" i="20"/>
  <c r="J264" i="20"/>
  <c r="I264" i="20"/>
  <c r="D258" i="15"/>
  <c r="F259" i="15"/>
  <c r="AL32" i="18"/>
  <c r="AM33" i="18"/>
  <c r="V120" i="18" l="1"/>
  <c r="W120" i="18" s="1"/>
  <c r="S121" i="18"/>
  <c r="S122" i="18" s="1"/>
  <c r="S123" i="18" s="1"/>
  <c r="S124" i="18" s="1"/>
  <c r="S125" i="18" s="1"/>
  <c r="S126" i="18" s="1"/>
  <c r="E26" i="14"/>
  <c r="G27" i="14"/>
  <c r="I263" i="20"/>
  <c r="K263" i="20"/>
  <c r="G262" i="20"/>
  <c r="J263" i="20"/>
  <c r="D257" i="15"/>
  <c r="F258" i="15"/>
  <c r="AL31" i="18"/>
  <c r="AM32" i="18"/>
  <c r="K61" i="32"/>
  <c r="U61" i="32" s="1"/>
  <c r="K60" i="32"/>
  <c r="U60" i="32" s="1"/>
  <c r="K49" i="32"/>
  <c r="U49" i="32" s="1"/>
  <c r="K48" i="32"/>
  <c r="U48" i="32" s="1"/>
  <c r="K46" i="32"/>
  <c r="I60" i="32"/>
  <c r="I48" i="32"/>
  <c r="S70" i="32"/>
  <c r="V125" i="18" l="1"/>
  <c r="W125" i="18" s="1"/>
  <c r="X120" i="18"/>
  <c r="V121" i="18"/>
  <c r="X121" i="18" s="1"/>
  <c r="E25" i="14"/>
  <c r="G26" i="14"/>
  <c r="G261" i="20"/>
  <c r="I262" i="20"/>
  <c r="J262" i="20"/>
  <c r="K262" i="20"/>
  <c r="D256" i="15"/>
  <c r="F257" i="15"/>
  <c r="AL30" i="18"/>
  <c r="AM31" i="18"/>
  <c r="L60" i="32"/>
  <c r="L48" i="32"/>
  <c r="X125" i="18" l="1"/>
  <c r="S127" i="18"/>
  <c r="W121" i="18"/>
  <c r="E24" i="14"/>
  <c r="G25" i="14"/>
  <c r="J261" i="20"/>
  <c r="I261" i="20"/>
  <c r="K261" i="20"/>
  <c r="G260" i="20"/>
  <c r="D255" i="15"/>
  <c r="F256" i="15"/>
  <c r="AL29" i="18"/>
  <c r="AM30" i="18"/>
  <c r="V126" i="18" l="1"/>
  <c r="X12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7" i="18" l="1"/>
  <c r="W127" i="18" s="1"/>
  <c r="S128" i="18"/>
  <c r="V122" i="18"/>
  <c r="W12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8" i="18" l="1"/>
  <c r="W128" i="18" s="1"/>
  <c r="S129" i="18"/>
  <c r="X127" i="18"/>
  <c r="X12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9" i="18" l="1"/>
  <c r="S130" i="18"/>
  <c r="V130" i="18" s="1"/>
  <c r="X128" i="18"/>
  <c r="W129" i="18"/>
  <c r="X129" i="18"/>
  <c r="G255" i="20"/>
  <c r="I256" i="20"/>
  <c r="J256" i="20"/>
  <c r="K256" i="20"/>
  <c r="D250" i="15"/>
  <c r="F251" i="15"/>
  <c r="AL24" i="18"/>
  <c r="AM25" i="18"/>
  <c r="E178" i="13"/>
  <c r="G179" i="13"/>
  <c r="W130" i="18" l="1"/>
  <c r="X130" i="18"/>
  <c r="V123" i="18"/>
  <c r="X123" i="18" s="1"/>
  <c r="G254" i="20"/>
  <c r="J255" i="20"/>
  <c r="I255" i="20"/>
  <c r="K255" i="20"/>
  <c r="D249" i="15"/>
  <c r="F250" i="15"/>
  <c r="AM24" i="18"/>
  <c r="AL23" i="18"/>
  <c r="E177" i="13"/>
  <c r="G178" i="13"/>
  <c r="W123"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4" i="18" l="1"/>
  <c r="W124"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<sst xmlns="http://schemas.openxmlformats.org/spreadsheetml/2006/main" count="11909" uniqueCount="5106">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</sst>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I22" sqref="I2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69" t="s">
        <v>5093</v>
      </c>
      <c r="K1" t="s">
        <v>4960</v>
      </c>
      <c r="L1" t="s">
        <v>4964</v>
      </c>
      <c r="M1" t="s">
        <v>4965</v>
      </c>
    </row>
    <row r="2" spans="1:18">
      <c r="A2" s="99" t="s">
        <v>4959</v>
      </c>
      <c r="B2" s="99">
        <v>1120643604</v>
      </c>
      <c r="C2" s="99">
        <v>830</v>
      </c>
      <c r="D2" s="99">
        <f>B2*C2/$K$2</f>
        <v>12.918530434999999</v>
      </c>
      <c r="E2" s="99"/>
      <c r="F2" s="99"/>
      <c r="G2" s="99">
        <v>4200</v>
      </c>
      <c r="H2" s="99">
        <f>B2*G2/$K$2</f>
        <v>65.370876899999999</v>
      </c>
      <c r="K2">
        <v>72000000000</v>
      </c>
      <c r="L2">
        <v>27308458109</v>
      </c>
      <c r="M2">
        <v>40500000000</v>
      </c>
    </row>
    <row r="3" spans="1:18">
      <c r="A3" s="99" t="s">
        <v>4961</v>
      </c>
      <c r="B3" s="99">
        <v>2605736250</v>
      </c>
      <c r="C3" s="99">
        <v>80</v>
      </c>
      <c r="D3" s="99">
        <f>B3*C3/$K$2</f>
        <v>2.8952624999999999</v>
      </c>
      <c r="E3" s="99"/>
      <c r="F3" s="99"/>
      <c r="G3" s="99">
        <v>1350</v>
      </c>
      <c r="H3" s="99">
        <f>B3*G3/$K$2</f>
        <v>48.857554687499999</v>
      </c>
      <c r="L3">
        <f>L2/M2</f>
        <v>0.67428291627160497</v>
      </c>
    </row>
    <row r="4" spans="1:18">
      <c r="A4" s="99" t="s">
        <v>4962</v>
      </c>
      <c r="B4" s="99">
        <v>560000000</v>
      </c>
      <c r="C4" s="99">
        <v>25</v>
      </c>
      <c r="D4" s="99">
        <f>B4*C4/$K$2</f>
        <v>0.19444444444444445</v>
      </c>
      <c r="E4" s="99"/>
      <c r="F4" s="99"/>
      <c r="G4" s="99">
        <v>218</v>
      </c>
      <c r="H4" s="99">
        <f>B4*G4/$K$2</f>
        <v>1.6955555555555555</v>
      </c>
    </row>
    <row r="5" spans="1:18">
      <c r="A5" s="99" t="s">
        <v>4963</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4959</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4966</v>
      </c>
      <c r="B8" s="99">
        <v>555409765</v>
      </c>
      <c r="C8" s="99">
        <v>0</v>
      </c>
      <c r="D8" s="99">
        <f t="shared" si="0"/>
        <v>0</v>
      </c>
      <c r="E8" s="99">
        <v>300</v>
      </c>
      <c r="F8" s="99">
        <f t="shared" si="1"/>
        <v>1.5604304836246949</v>
      </c>
      <c r="G8" s="99">
        <v>3000</v>
      </c>
      <c r="H8" s="99">
        <f t="shared" si="2"/>
        <v>15.604304836246948</v>
      </c>
    </row>
    <row r="9" spans="1:18">
      <c r="A9" s="99" t="s">
        <v>4963</v>
      </c>
      <c r="B9" s="99">
        <v>2103087537</v>
      </c>
      <c r="C9" s="99">
        <v>200</v>
      </c>
      <c r="D9" s="99">
        <f t="shared" si="0"/>
        <v>3.9390999933967414</v>
      </c>
      <c r="E9" s="99"/>
      <c r="F9" s="99">
        <f t="shared" si="1"/>
        <v>0</v>
      </c>
      <c r="G9" s="99">
        <f>G5</f>
        <v>1400</v>
      </c>
      <c r="H9" s="99">
        <f t="shared" si="2"/>
        <v>27.57369995377719</v>
      </c>
      <c r="J9" t="s">
        <v>25</v>
      </c>
    </row>
    <row r="10" spans="1:18">
      <c r="A10" s="99" t="s">
        <v>4969</v>
      </c>
      <c r="B10" s="99">
        <v>4123527587</v>
      </c>
      <c r="C10" s="99">
        <v>400</v>
      </c>
      <c r="D10" s="99">
        <f t="shared" si="0"/>
        <v>15.44680114827097</v>
      </c>
      <c r="E10" s="99"/>
      <c r="F10" s="99">
        <f t="shared" si="1"/>
        <v>0</v>
      </c>
      <c r="G10" s="99">
        <v>1670</v>
      </c>
      <c r="H10" s="99">
        <f t="shared" si="2"/>
        <v>64.490394794031289</v>
      </c>
    </row>
    <row r="11" spans="1:18">
      <c r="A11" s="99" t="s">
        <v>4970</v>
      </c>
      <c r="B11" s="99">
        <v>2635379034</v>
      </c>
      <c r="C11" s="99">
        <v>85</v>
      </c>
      <c r="D11" s="99">
        <f t="shared" si="0"/>
        <v>2.097836668677195</v>
      </c>
      <c r="E11" s="99"/>
      <c r="F11" s="99">
        <f t="shared" si="1"/>
        <v>0</v>
      </c>
      <c r="G11" s="99">
        <v>890</v>
      </c>
      <c r="H11" s="99">
        <f t="shared" si="2"/>
        <v>21.965583942620043</v>
      </c>
    </row>
    <row r="12" spans="1:18">
      <c r="A12" s="99" t="s">
        <v>4971</v>
      </c>
      <c r="B12" s="99">
        <v>1886721602</v>
      </c>
      <c r="C12" s="99">
        <v>350</v>
      </c>
      <c r="D12" s="99">
        <f t="shared" si="0"/>
        <v>6.1842284777252505</v>
      </c>
      <c r="E12" s="99"/>
      <c r="F12" s="99">
        <f t="shared" si="1"/>
        <v>0</v>
      </c>
      <c r="G12" s="99">
        <v>2200</v>
      </c>
      <c r="H12" s="99">
        <f t="shared" si="2"/>
        <v>38.872293288558716</v>
      </c>
      <c r="M12" t="s">
        <v>5064</v>
      </c>
    </row>
    <row r="13" spans="1:18">
      <c r="A13" s="99" t="s">
        <v>4972</v>
      </c>
      <c r="B13" s="99">
        <v>1630533748</v>
      </c>
      <c r="C13" s="99">
        <v>120</v>
      </c>
      <c r="D13" s="99">
        <f t="shared" si="0"/>
        <v>1.832401751134517</v>
      </c>
      <c r="E13" s="99"/>
      <c r="F13" s="99">
        <f t="shared" si="1"/>
        <v>0</v>
      </c>
      <c r="G13" s="99">
        <v>809</v>
      </c>
      <c r="H13" s="99">
        <f t="shared" si="2"/>
        <v>12.353441805565202</v>
      </c>
      <c r="M13" s="99" t="s">
        <v>180</v>
      </c>
      <c r="N13" s="99" t="s">
        <v>267</v>
      </c>
      <c r="O13" s="99" t="s">
        <v>5062</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5054</v>
      </c>
      <c r="N14" s="18">
        <v>7500000</v>
      </c>
      <c r="O14" s="99">
        <v>4</v>
      </c>
      <c r="P14" s="99"/>
      <c r="Q14" s="99"/>
      <c r="R14" s="99"/>
    </row>
    <row r="15" spans="1:18">
      <c r="A15" s="99" t="s">
        <v>4973</v>
      </c>
      <c r="B15" s="99">
        <v>236958025</v>
      </c>
      <c r="C15" s="99">
        <v>220</v>
      </c>
      <c r="D15" s="99">
        <f t="shared" si="0"/>
        <v>0.48820673040015516</v>
      </c>
      <c r="E15" s="99"/>
      <c r="F15" s="99">
        <f t="shared" si="1"/>
        <v>0</v>
      </c>
      <c r="G15" s="99">
        <v>1700</v>
      </c>
      <c r="H15" s="99">
        <f t="shared" si="2"/>
        <v>3.7725065530921085</v>
      </c>
      <c r="M15" s="99" t="s">
        <v>5061</v>
      </c>
      <c r="N15" s="18">
        <v>-500000</v>
      </c>
      <c r="O15" s="99">
        <v>7</v>
      </c>
      <c r="P15" s="99"/>
      <c r="Q15" s="99"/>
      <c r="R15" s="99"/>
    </row>
    <row r="16" spans="1:18">
      <c r="A16" s="99"/>
      <c r="B16" s="99"/>
      <c r="C16" s="99"/>
      <c r="D16" s="99">
        <f t="shared" si="0"/>
        <v>0</v>
      </c>
      <c r="E16" s="99"/>
      <c r="F16" s="99">
        <f t="shared" si="1"/>
        <v>0</v>
      </c>
      <c r="G16" s="99"/>
      <c r="H16" s="99"/>
      <c r="M16" s="99" t="s">
        <v>5074</v>
      </c>
      <c r="N16" s="18">
        <v>-7000000</v>
      </c>
      <c r="O16" s="99">
        <v>1</v>
      </c>
      <c r="P16" s="99"/>
      <c r="Q16" s="99"/>
      <c r="R16" s="99"/>
    </row>
    <row r="17" spans="1:18">
      <c r="A17" s="99"/>
      <c r="B17" s="99"/>
      <c r="C17" s="99"/>
      <c r="D17" s="99">
        <f t="shared" si="0"/>
        <v>0</v>
      </c>
      <c r="E17" s="99"/>
      <c r="F17" s="99">
        <f t="shared" si="1"/>
        <v>0</v>
      </c>
      <c r="G17" s="99"/>
      <c r="H17" s="99"/>
      <c r="M17" s="99" t="s">
        <v>5086</v>
      </c>
      <c r="N17" s="18">
        <v>2000000</v>
      </c>
      <c r="O17" s="99">
        <v>1</v>
      </c>
      <c r="P17" s="99"/>
      <c r="Q17" s="99"/>
      <c r="R17" s="99"/>
    </row>
    <row r="18" spans="1:18">
      <c r="A18" s="99"/>
      <c r="B18" s="99"/>
      <c r="C18" s="99"/>
      <c r="D18" s="99">
        <f t="shared" si="0"/>
        <v>0</v>
      </c>
      <c r="E18" s="99"/>
      <c r="F18" s="99">
        <f t="shared" si="1"/>
        <v>0</v>
      </c>
      <c r="G18" s="99"/>
      <c r="H18" s="99"/>
      <c r="M18" s="99"/>
      <c r="N18" s="18"/>
      <c r="O18" s="99"/>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5" sqref="E65"/>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v>-850000</v>
      </c>
      <c r="E63" s="257" t="s">
        <v>5097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5101</v>
      </c>
      <c r="F64" s="96"/>
      <c r="G64" s="96"/>
      <c r="H64" s="96" t="s">
        <v>25</v>
      </c>
      <c r="I64" s="96"/>
      <c r="J64" s="96"/>
      <c r="K64" s="96"/>
      <c r="L64" s="96"/>
      <c r="M64" s="96"/>
      <c r="N64" s="96"/>
      <c r="O64" s="96"/>
      <c r="P64" s="96"/>
      <c r="Q64" s="96"/>
      <c r="R64" s="96"/>
      <c r="S64" s="96"/>
      <c r="T64" s="96"/>
      <c r="U64" s="96"/>
    </row>
    <row r="65" spans="1:21">
      <c r="A65" s="96"/>
      <c r="B65" s="96"/>
      <c r="C65" s="96"/>
      <c r="D65" s="18"/>
      <c r="E65" s="257"/>
      <c r="F65" s="96"/>
      <c r="G65" s="96"/>
      <c r="H65" s="96"/>
      <c r="I65" s="96"/>
      <c r="J65" s="96"/>
      <c r="K65" s="96"/>
      <c r="L65" s="96"/>
      <c r="M65" s="96"/>
      <c r="N65" s="96"/>
      <c r="O65" s="96"/>
      <c r="P65" s="96"/>
      <c r="Q65" s="96"/>
      <c r="R65" s="96"/>
      <c r="S65" s="96"/>
      <c r="T65" s="96"/>
      <c r="U65" s="96"/>
    </row>
    <row r="66" spans="1:21">
      <c r="A66" s="96"/>
      <c r="B66" s="96"/>
      <c r="C66" s="96"/>
      <c r="D66" s="18"/>
      <c r="E66" s="257"/>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11529409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I79" zoomScale="90" zoomScaleNormal="90" workbookViewId="0">
      <selection activeCell="K103" sqref="K10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11</v>
      </c>
      <c r="O20" s="99" t="s">
        <v>937</v>
      </c>
      <c r="P20" s="99" t="s">
        <v>3929</v>
      </c>
      <c r="Q20" s="169">
        <v>9268987</v>
      </c>
      <c r="R20" s="168" t="s">
        <v>4172</v>
      </c>
      <c r="S20" s="192">
        <f>S83</f>
        <v>254</v>
      </c>
      <c r="T20" s="168" t="s">
        <v>4308</v>
      </c>
      <c r="U20" s="168">
        <v>192.1</v>
      </c>
      <c r="V20" s="168">
        <f t="shared" ref="V20:V52" si="6">U20*(1+$R$79+$Q$15*S20/36500)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587353430.54117441</v>
      </c>
      <c r="M21" s="168" t="s">
        <v>4300</v>
      </c>
      <c r="N21" s="113">
        <f t="shared" ref="N21:N23" si="9">O21*P21</f>
        <v>277064501</v>
      </c>
      <c r="O21" s="99">
        <v>1297726</v>
      </c>
      <c r="P21" s="186">
        <f>P43</f>
        <v>213.5</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98'!D71</f>
        <v>-11529409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44844228</v>
      </c>
      <c r="O23" s="99">
        <v>9273</v>
      </c>
      <c r="P23" s="99">
        <f>P41</f>
        <v>4836</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577797098.54117441</v>
      </c>
      <c r="G24" s="95">
        <f t="shared" si="0"/>
        <v>-297490753.15923578</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5542056</v>
      </c>
      <c r="O26" s="69">
        <v>1146</v>
      </c>
      <c r="P26" s="99">
        <f>P41</f>
        <v>4836</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66766360.5</v>
      </c>
      <c r="O27" s="69">
        <v>312723</v>
      </c>
      <c r="P27" s="99">
        <f>P43</f>
        <v>213.5</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-S143</f>
        <v>-587353430.54117441</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14400000</v>
      </c>
      <c r="O34" s="96"/>
      <c r="P34" s="96" t="s">
        <v>25</v>
      </c>
      <c r="Q34" s="169">
        <v>1563192</v>
      </c>
      <c r="R34" s="214" t="s">
        <v>4734</v>
      </c>
      <c r="S34" s="198">
        <f>S33</f>
        <v>106</v>
      </c>
      <c r="T34" s="214" t="s">
        <v>4736</v>
      </c>
      <c r="U34" s="214">
        <v>168.8</v>
      </c>
      <c r="V34" s="214">
        <f t="shared" si="6"/>
        <v>185.09174356164388</v>
      </c>
      <c r="W34" s="32">
        <f t="shared" ref="W34:W52" si="14">V34*(1+$W$19/100)</f>
        <v>188.79357843287676</v>
      </c>
      <c r="X34" s="32">
        <f t="shared" ref="X34:X52"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5080</v>
      </c>
      <c r="L39" s="117">
        <v>6800000</v>
      </c>
      <c r="M39" s="168"/>
      <c r="N39" s="113"/>
      <c r="O39" s="99"/>
      <c r="P39" s="99"/>
      <c r="Q39" s="169">
        <v>164707</v>
      </c>
      <c r="R39" s="214" t="s">
        <v>4921</v>
      </c>
      <c r="S39" s="198">
        <f>S38-28</f>
        <v>50</v>
      </c>
      <c r="T39" s="214" t="s">
        <v>4922</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5081</v>
      </c>
      <c r="L40" s="117">
        <v>8811715</v>
      </c>
      <c r="M40" s="21" t="s">
        <v>4567</v>
      </c>
      <c r="N40" s="117">
        <f t="shared" ref="N40:N44" si="16">O40*P40</f>
        <v>71735</v>
      </c>
      <c r="O40" s="69">
        <v>50</v>
      </c>
      <c r="P40" s="69">
        <v>1434.7</v>
      </c>
      <c r="Q40" s="169">
        <v>1204691</v>
      </c>
      <c r="R40" s="214" t="s">
        <v>4986</v>
      </c>
      <c r="S40" s="198">
        <f>S39-20</f>
        <v>30</v>
      </c>
      <c r="T40" s="214" t="s">
        <v>4987</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5082</v>
      </c>
      <c r="L41" s="117">
        <f>L38-L39-L40</f>
        <v>6888285</v>
      </c>
      <c r="M41" s="19" t="s">
        <v>4393</v>
      </c>
      <c r="N41" s="113">
        <f t="shared" si="16"/>
        <v>160738968</v>
      </c>
      <c r="O41" s="69">
        <v>33238</v>
      </c>
      <c r="P41" s="69">
        <v>4836</v>
      </c>
      <c r="Q41" s="169">
        <v>15011877</v>
      </c>
      <c r="R41" s="214" t="s">
        <v>4990</v>
      </c>
      <c r="S41" s="198">
        <f>S40-3</f>
        <v>27</v>
      </c>
      <c r="T41" s="214" t="s">
        <v>4995</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82198849</v>
      </c>
      <c r="O42" s="69">
        <v>106835</v>
      </c>
      <c r="P42" s="69">
        <v>769.4</v>
      </c>
      <c r="Q42" s="169">
        <v>35272425</v>
      </c>
      <c r="R42" s="214" t="s">
        <v>5007</v>
      </c>
      <c r="S42" s="198">
        <f>S41-5</f>
        <v>22</v>
      </c>
      <c r="T42" s="214" t="s">
        <v>5010</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508655423.5</v>
      </c>
      <c r="O43" s="99">
        <v>2382461</v>
      </c>
      <c r="P43" s="99">
        <v>213.5</v>
      </c>
      <c r="Q43" s="169">
        <v>3098904</v>
      </c>
      <c r="R43" s="214" t="s">
        <v>5008</v>
      </c>
      <c r="S43" s="198">
        <f>S42</f>
        <v>22</v>
      </c>
      <c r="T43" s="214" t="s">
        <v>5011</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480000</v>
      </c>
      <c r="Q44" s="169">
        <v>12803120</v>
      </c>
      <c r="R44" s="214" t="s">
        <v>5009</v>
      </c>
      <c r="S44" s="198">
        <f>S43</f>
        <v>22</v>
      </c>
      <c r="T44" s="214" t="s">
        <v>5012</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73"/>
      <c r="N45" s="117"/>
      <c r="O45" s="122"/>
      <c r="P45" s="122"/>
      <c r="Q45" s="169">
        <v>100562</v>
      </c>
      <c r="R45" s="214" t="s">
        <v>5018</v>
      </c>
      <c r="S45" s="198">
        <f>S44-6</f>
        <v>16</v>
      </c>
      <c r="T45" s="214" t="s">
        <v>5019</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5061</v>
      </c>
      <c r="S48" s="198">
        <f>S47-2</f>
        <v>0</v>
      </c>
      <c r="T48" s="214" t="s">
        <v>5065</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5074</v>
      </c>
      <c r="S49" s="198">
        <f>S48-7</f>
        <v>-7</v>
      </c>
      <c r="T49" s="214" t="s">
        <v>5083</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499908</v>
      </c>
      <c r="R50" s="214" t="s">
        <v>5086</v>
      </c>
      <c r="S50" s="198">
        <f>S49-1</f>
        <v>-8</v>
      </c>
      <c r="T50" s="214" t="s">
        <v>5092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v>850188</v>
      </c>
      <c r="R51" s="214" t="s">
        <v>5095</v>
      </c>
      <c r="S51" s="198">
        <f>S50-1</f>
        <v>-9</v>
      </c>
      <c r="T51" s="214" t="s">
        <v>5096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-S144</f>
        <v>-18418158.35805193</v>
      </c>
      <c r="Q52" s="169"/>
      <c r="R52" s="168"/>
      <c r="S52" s="168"/>
      <c r="T52" s="168"/>
      <c r="U52" s="168"/>
      <c r="V52" s="214">
        <f t="shared" si="6"/>
        <v>0</v>
      </c>
      <c r="W52" s="32">
        <f t="shared" si="14"/>
        <v>0</v>
      </c>
      <c r="X52" s="32">
        <f t="shared" si="15"/>
        <v>0</v>
      </c>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Q53" s="169">
        <f>SUM(N21:N23)-SUM(Q20:Q52)</f>
        <v>61512775</v>
      </c>
      <c r="R53" s="168"/>
      <c r="S53" s="168" t="s">
        <v>25</v>
      </c>
      <c r="T53" s="168"/>
      <c r="U53" s="168"/>
      <c r="V53" s="168"/>
      <c r="W53" s="32"/>
      <c r="X53" s="32"/>
      <c r="Y53" t="s">
        <v>25</v>
      </c>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R54" s="115"/>
      <c r="S54" s="115" t="s">
        <v>25</v>
      </c>
      <c r="T54" s="115"/>
      <c r="U54" s="115" t="s">
        <v>25</v>
      </c>
      <c r="V54" s="115" t="s">
        <v>25</v>
      </c>
      <c r="W54" s="195" t="s">
        <v>25</v>
      </c>
      <c r="X54" s="195"/>
      <c r="Y54" t="s">
        <v>25</v>
      </c>
      <c r="AH54" s="99">
        <v>35</v>
      </c>
      <c r="AI54" s="113" t="s">
        <v>3981</v>
      </c>
      <c r="AJ54" s="113">
        <v>750000</v>
      </c>
      <c r="AK54" s="99">
        <v>2</v>
      </c>
      <c r="AL54" s="99">
        <f t="shared" si="10"/>
        <v>301</v>
      </c>
      <c r="AM54" s="113">
        <f t="shared" si="11"/>
        <v>225750000</v>
      </c>
      <c r="AN54" s="99"/>
    </row>
    <row r="55" spans="1:45">
      <c r="A55" s="63">
        <v>1400</v>
      </c>
      <c r="B55" s="11">
        <v>53</v>
      </c>
      <c r="C55" s="49">
        <f t="shared" si="4"/>
        <v>5434352.6275970079</v>
      </c>
      <c r="D55" s="3">
        <f t="shared" si="5"/>
        <v>4414480.970089077</v>
      </c>
      <c r="E55" s="3">
        <f t="shared" si="12"/>
        <v>554684624.00670612</v>
      </c>
      <c r="F55" s="3"/>
      <c r="G55" s="11"/>
      <c r="H55" s="11"/>
      <c r="K55" s="168" t="s">
        <v>598</v>
      </c>
      <c r="L55" s="113">
        <f>SUM(L16:L42)</f>
        <v>577797098.54117441</v>
      </c>
      <c r="M55" s="168"/>
      <c r="N55" s="113">
        <f>SUM(N16:N54)</f>
        <v>617030158.10077369</v>
      </c>
      <c r="Q55" s="96"/>
      <c r="R55" s="115"/>
      <c r="S55" s="115"/>
      <c r="T55" s="115" t="s">
        <v>25</v>
      </c>
      <c r="U55" s="115" t="s">
        <v>25</v>
      </c>
      <c r="V55" s="115"/>
      <c r="W55" s="195"/>
      <c r="X55" s="195" t="s">
        <v>25</v>
      </c>
      <c r="Y55" t="s">
        <v>25</v>
      </c>
      <c r="AH55" s="171">
        <v>36</v>
      </c>
      <c r="AI55" s="170" t="s">
        <v>3991</v>
      </c>
      <c r="AJ55" s="170">
        <v>-4242000</v>
      </c>
      <c r="AK55" s="171">
        <v>2</v>
      </c>
      <c r="AL55" s="171">
        <f t="shared" si="10"/>
        <v>299</v>
      </c>
      <c r="AM55" s="170">
        <f t="shared" si="11"/>
        <v>-1268358000</v>
      </c>
      <c r="AN55" s="171" t="s">
        <v>4062</v>
      </c>
    </row>
    <row r="56" spans="1:45">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t="s">
        <v>657</v>
      </c>
      <c r="R56" s="168"/>
      <c r="S56" s="168"/>
      <c r="T56" s="168"/>
      <c r="U56" s="168"/>
      <c r="V56" s="168"/>
      <c r="W56" s="32"/>
      <c r="X56" s="32"/>
      <c r="Y56" s="96"/>
      <c r="AH56" s="99">
        <v>37</v>
      </c>
      <c r="AI56" s="113" t="s">
        <v>3991</v>
      </c>
      <c r="AJ56" s="113">
        <v>4100000</v>
      </c>
      <c r="AK56" s="99">
        <v>0</v>
      </c>
      <c r="AL56" s="99">
        <f t="shared" si="10"/>
        <v>297</v>
      </c>
      <c r="AM56" s="113">
        <f t="shared" si="11"/>
        <v>1217700000</v>
      </c>
      <c r="AN56" s="99"/>
    </row>
    <row r="57" spans="1:45" ht="30">
      <c r="A57" s="63">
        <v>1400</v>
      </c>
      <c r="B57" s="11">
        <v>55</v>
      </c>
      <c r="C57" s="50">
        <f t="shared" si="4"/>
        <v>5543583.1154117081</v>
      </c>
      <c r="D57" s="3">
        <f t="shared" si="5"/>
        <v>4503212.0375878671</v>
      </c>
      <c r="E57" s="3">
        <f t="shared" si="12"/>
        <v>579184925.67596567</v>
      </c>
      <c r="F57" s="3"/>
      <c r="G57" s="11"/>
      <c r="H57" s="11"/>
      <c r="K57" s="56" t="s">
        <v>716</v>
      </c>
      <c r="L57" s="1">
        <f>L55+N7</f>
        <v>647797098.54117441</v>
      </c>
      <c r="M57" s="113"/>
      <c r="N57" s="168"/>
      <c r="O57" s="115"/>
      <c r="P57" s="115"/>
      <c r="Q57" s="168" t="s">
        <v>267</v>
      </c>
      <c r="R57" s="168" t="s">
        <v>180</v>
      </c>
      <c r="S57" s="168" t="s">
        <v>183</v>
      </c>
      <c r="T57" s="168" t="s">
        <v>8</v>
      </c>
      <c r="U57" s="168" t="s">
        <v>4362</v>
      </c>
      <c r="V57" s="73" t="s">
        <v>4364</v>
      </c>
      <c r="W57" s="32">
        <v>2</v>
      </c>
      <c r="X57" s="32">
        <v>4</v>
      </c>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8">
        <v>0</v>
      </c>
      <c r="R58" s="168" t="s">
        <v>4172</v>
      </c>
      <c r="S58" s="168">
        <f>S83</f>
        <v>254</v>
      </c>
      <c r="T58" s="168"/>
      <c r="U58" s="168"/>
      <c r="V58" s="73"/>
      <c r="W58" s="32"/>
      <c r="X58" s="32"/>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863944</v>
      </c>
      <c r="R59" s="168" t="s">
        <v>4436</v>
      </c>
      <c r="S59" s="168">
        <f>S58-62</f>
        <v>192</v>
      </c>
      <c r="T59" s="191" t="s">
        <v>4508</v>
      </c>
      <c r="U59" s="168">
        <v>184.6</v>
      </c>
      <c r="V59" s="168">
        <f t="shared" ref="V59:V74" si="17">U59*(1+$R$79+$Q$15*S59/36500)</f>
        <v>214.59522410958905</v>
      </c>
      <c r="W59" s="32">
        <f t="shared" ref="W59:W74" si="18">V59*(1+$W$19/100)</f>
        <v>218.88712859178085</v>
      </c>
      <c r="X59" s="32">
        <f t="shared" ref="X59:X74" si="19">V59*(1+$X$19/100)</f>
        <v>223.17903307397262</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1692313</v>
      </c>
      <c r="R60" s="168" t="s">
        <v>4511</v>
      </c>
      <c r="S60" s="198">
        <f>S59-21</f>
        <v>171</v>
      </c>
      <c r="T60" s="190" t="s">
        <v>4512</v>
      </c>
      <c r="U60" s="168">
        <v>168.5</v>
      </c>
      <c r="V60" s="168">
        <f t="shared" si="17"/>
        <v>193.16470684931508</v>
      </c>
      <c r="W60" s="32">
        <f t="shared" si="18"/>
        <v>197.02800098630138</v>
      </c>
      <c r="X60" s="32">
        <f t="shared" si="19"/>
        <v>200.8912951232877</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101153</v>
      </c>
      <c r="R61" s="168" t="s">
        <v>4514</v>
      </c>
      <c r="S61" s="198">
        <f>S60-1</f>
        <v>170</v>
      </c>
      <c r="T61" s="190" t="s">
        <v>4516</v>
      </c>
      <c r="U61" s="168">
        <v>166.7</v>
      </c>
      <c r="V61" s="168">
        <f t="shared" si="17"/>
        <v>190.97334684931508</v>
      </c>
      <c r="W61" s="32">
        <f t="shared" si="18"/>
        <v>194.79281378630139</v>
      </c>
      <c r="X61" s="32">
        <f t="shared" si="19"/>
        <v>198.61228072328768</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4816</v>
      </c>
      <c r="N62" s="99" t="s">
        <v>751</v>
      </c>
      <c r="O62" s="113">
        <f>O21*25</f>
        <v>32443150</v>
      </c>
      <c r="Q62" s="169">
        <v>183105</v>
      </c>
      <c r="R62" s="168" t="s">
        <v>4230</v>
      </c>
      <c r="S62" s="198">
        <f>S61-1</f>
        <v>169</v>
      </c>
      <c r="T62" s="190" t="s">
        <v>4520</v>
      </c>
      <c r="U62" s="168">
        <v>166.6</v>
      </c>
      <c r="V62" s="168">
        <f t="shared" si="17"/>
        <v>190.73098301369865</v>
      </c>
      <c r="W62" s="32">
        <f t="shared" si="18"/>
        <v>194.54560267397261</v>
      </c>
      <c r="X62" s="32">
        <f t="shared" si="19"/>
        <v>198.3602223342466</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168846</v>
      </c>
      <c r="R63" s="168" t="s">
        <v>3691</v>
      </c>
      <c r="S63" s="198">
        <f>S62-30</f>
        <v>139</v>
      </c>
      <c r="T63" s="190" t="s">
        <v>4617</v>
      </c>
      <c r="U63" s="168">
        <v>172.2</v>
      </c>
      <c r="V63" s="168">
        <f t="shared" si="17"/>
        <v>193.17914958904112</v>
      </c>
      <c r="W63" s="32">
        <f t="shared" si="18"/>
        <v>197.04273258082193</v>
      </c>
      <c r="X63" s="32">
        <f t="shared" si="19"/>
        <v>200.90631557260278</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250962</v>
      </c>
      <c r="R64" s="168" t="s">
        <v>4656</v>
      </c>
      <c r="S64" s="198">
        <f>S63-10</f>
        <v>129</v>
      </c>
      <c r="T64" s="190" t="s">
        <v>4657</v>
      </c>
      <c r="U64" s="168">
        <v>5315.5</v>
      </c>
      <c r="V64" s="168">
        <f t="shared" si="17"/>
        <v>5922.311654794521</v>
      </c>
      <c r="W64" s="32">
        <f t="shared" si="18"/>
        <v>6040.7578878904114</v>
      </c>
      <c r="X64" s="32">
        <f t="shared" si="19"/>
        <v>6159.2041209863019</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6278475</v>
      </c>
      <c r="R65" s="5" t="s">
        <v>4887</v>
      </c>
      <c r="S65" s="198">
        <f>S64-65</f>
        <v>64</v>
      </c>
      <c r="T65" s="190" t="s">
        <v>4890</v>
      </c>
      <c r="U65" s="214">
        <v>6250.1</v>
      </c>
      <c r="V65" s="214">
        <f t="shared" si="17"/>
        <v>6651.9557446575345</v>
      </c>
      <c r="W65" s="32">
        <f t="shared" si="18"/>
        <v>6784.9948595506858</v>
      </c>
      <c r="X65" s="32">
        <f t="shared" si="19"/>
        <v>6918.0339744438361</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19918023</v>
      </c>
      <c r="R66" s="5" t="s">
        <v>4887</v>
      </c>
      <c r="S66" s="198">
        <f>S65</f>
        <v>64</v>
      </c>
      <c r="T66" s="190" t="s">
        <v>4891</v>
      </c>
      <c r="U66" s="214">
        <v>183</v>
      </c>
      <c r="V66" s="214">
        <f t="shared" si="17"/>
        <v>194.76614794520549</v>
      </c>
      <c r="W66" s="32">
        <f t="shared" si="18"/>
        <v>198.66147090410959</v>
      </c>
      <c r="X66" s="32">
        <f t="shared" si="19"/>
        <v>202.55679386301372</v>
      </c>
      <c r="Z66" s="96"/>
      <c r="AA66" s="96"/>
      <c r="AB66" s="96"/>
      <c r="AC66" s="96"/>
      <c r="AH66" s="20">
        <v>46</v>
      </c>
      <c r="AI66" s="117" t="s">
        <v>4117</v>
      </c>
      <c r="AJ66" s="117">
        <v>13000000</v>
      </c>
      <c r="AK66" s="20">
        <v>2</v>
      </c>
      <c r="AL66" s="99">
        <f t="shared" si="20"/>
        <v>263</v>
      </c>
      <c r="AM66" s="113">
        <f t="shared" si="11"/>
        <v>3419000000</v>
      </c>
      <c r="AN66" s="20"/>
    </row>
    <row r="67" spans="1:40" ht="21">
      <c r="A67" t="s">
        <v>25</v>
      </c>
      <c r="F67" t="s">
        <v>310</v>
      </c>
      <c r="G67" t="s">
        <v>4099</v>
      </c>
      <c r="K67" t="s">
        <v>4749</v>
      </c>
      <c r="M67" s="265" t="s">
        <v>5105</v>
      </c>
      <c r="N67" s="96"/>
      <c r="P67" s="115" t="s">
        <v>25</v>
      </c>
      <c r="Q67" s="169">
        <v>1200301</v>
      </c>
      <c r="R67" s="19" t="s">
        <v>4986</v>
      </c>
      <c r="S67" s="198">
        <f>S66-34</f>
        <v>30</v>
      </c>
      <c r="T67" s="190" t="s">
        <v>4988</v>
      </c>
      <c r="U67" s="214">
        <v>218.5</v>
      </c>
      <c r="V67" s="214">
        <f t="shared" si="17"/>
        <v>226.84969315068497</v>
      </c>
      <c r="W67" s="32">
        <f t="shared" si="18"/>
        <v>231.38668701369866</v>
      </c>
      <c r="X67" s="32">
        <f t="shared" si="19"/>
        <v>235.92368087671238</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349201</v>
      </c>
      <c r="R68" s="19" t="s">
        <v>5004</v>
      </c>
      <c r="S68" s="198">
        <f>S67-8</f>
        <v>22</v>
      </c>
      <c r="T68" s="190" t="s">
        <v>5005</v>
      </c>
      <c r="U68" s="214">
        <v>4574</v>
      </c>
      <c r="V68" s="214">
        <f t="shared" si="17"/>
        <v>4720.7188821917816</v>
      </c>
      <c r="W68" s="32">
        <f t="shared" si="18"/>
        <v>4815.1332598356175</v>
      </c>
      <c r="X68" s="32">
        <f t="shared" si="19"/>
        <v>4909.5476374794534</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4817</v>
      </c>
      <c r="M69" s="96">
        <f>O43+O21+O27-O49</f>
        <v>3992910</v>
      </c>
      <c r="N69" s="113">
        <f>M69*P43</f>
        <v>852486285</v>
      </c>
      <c r="P69" s="115"/>
      <c r="Q69" s="169">
        <v>6135206</v>
      </c>
      <c r="R69" s="19" t="s">
        <v>5022</v>
      </c>
      <c r="S69" s="198">
        <f>S68-8</f>
        <v>14</v>
      </c>
      <c r="T69" s="190" t="s">
        <v>5023</v>
      </c>
      <c r="U69" s="214">
        <v>196.2</v>
      </c>
      <c r="V69" s="214">
        <f t="shared" si="17"/>
        <v>201.28937424657536</v>
      </c>
      <c r="W69" s="32">
        <f t="shared" si="18"/>
        <v>205.31516173150686</v>
      </c>
      <c r="X69" s="32">
        <f t="shared" si="19"/>
        <v>209.34094921643839</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4818</v>
      </c>
      <c r="M70" t="s">
        <v>4266</v>
      </c>
      <c r="P70" s="115"/>
      <c r="Q70" s="169">
        <v>104578</v>
      </c>
      <c r="R70" s="19" t="s">
        <v>5046</v>
      </c>
      <c r="S70" s="198">
        <f>S69-9</f>
        <v>5</v>
      </c>
      <c r="T70" s="190" t="s">
        <v>5047</v>
      </c>
      <c r="U70" s="214">
        <v>199.8</v>
      </c>
      <c r="V70" s="214">
        <f t="shared" si="17"/>
        <v>203.60331616438359</v>
      </c>
      <c r="W70" s="32">
        <f t="shared" si="18"/>
        <v>207.67538248767127</v>
      </c>
      <c r="X70" s="32">
        <f t="shared" si="19"/>
        <v>211.74744881095893</v>
      </c>
      <c r="AH70" s="20">
        <v>50</v>
      </c>
      <c r="AI70" s="117" t="s">
        <v>4156</v>
      </c>
      <c r="AJ70" s="117">
        <v>12000000</v>
      </c>
      <c r="AK70" s="20">
        <v>1</v>
      </c>
      <c r="AL70" s="99">
        <f t="shared" si="20"/>
        <v>256</v>
      </c>
      <c r="AM70" s="117">
        <f t="shared" si="11"/>
        <v>3072000000</v>
      </c>
      <c r="AN70" s="20"/>
    </row>
    <row r="71" spans="1:40">
      <c r="G71" t="s">
        <v>4102</v>
      </c>
      <c r="K71" t="s">
        <v>4819</v>
      </c>
      <c r="M71" t="s">
        <v>4580</v>
      </c>
      <c r="N71" t="s">
        <v>25</v>
      </c>
      <c r="P71" s="115"/>
      <c r="Q71" s="169">
        <v>119253</v>
      </c>
      <c r="R71" s="19" t="s">
        <v>5051</v>
      </c>
      <c r="S71" s="198">
        <f>S70-3</f>
        <v>2</v>
      </c>
      <c r="T71" s="190" t="s">
        <v>5053</v>
      </c>
      <c r="U71" s="214">
        <v>199.5</v>
      </c>
      <c r="V71" s="214">
        <f t="shared" si="17"/>
        <v>202.83848219178086</v>
      </c>
      <c r="W71" s="32">
        <f t="shared" si="18"/>
        <v>206.89525183561648</v>
      </c>
      <c r="X71" s="32">
        <f t="shared" si="19"/>
        <v>210.9520214794521</v>
      </c>
      <c r="AH71" s="20">
        <v>51</v>
      </c>
      <c r="AI71" s="117" t="s">
        <v>4162</v>
      </c>
      <c r="AJ71" s="117">
        <v>15500000</v>
      </c>
      <c r="AK71" s="20">
        <v>4</v>
      </c>
      <c r="AL71" s="99">
        <f t="shared" si="20"/>
        <v>255</v>
      </c>
      <c r="AM71" s="117">
        <f t="shared" si="11"/>
        <v>3952500000</v>
      </c>
      <c r="AN71" s="20"/>
    </row>
    <row r="72" spans="1:40" ht="26.25">
      <c r="G72" t="s">
        <v>4106</v>
      </c>
      <c r="K72" t="s">
        <v>4538</v>
      </c>
      <c r="M72" s="258"/>
      <c r="P72" s="115"/>
      <c r="Q72" s="169">
        <v>109068</v>
      </c>
      <c r="R72" s="19" t="s">
        <v>5061</v>
      </c>
      <c r="S72" s="198">
        <f>S71-2</f>
        <v>0</v>
      </c>
      <c r="T72" s="190" t="s">
        <v>5066</v>
      </c>
      <c r="U72" s="214">
        <v>4720.7</v>
      </c>
      <c r="V72" s="214">
        <f t="shared" si="17"/>
        <v>4792.4546399999999</v>
      </c>
      <c r="W72" s="32">
        <f t="shared" si="18"/>
        <v>4888.3037328</v>
      </c>
      <c r="X72" s="32">
        <f t="shared" si="19"/>
        <v>4984.1528256000001</v>
      </c>
      <c r="AH72" s="20">
        <v>52</v>
      </c>
      <c r="AI72" s="117" t="s">
        <v>4166</v>
      </c>
      <c r="AJ72" s="117">
        <v>150000</v>
      </c>
      <c r="AK72" s="20">
        <v>1</v>
      </c>
      <c r="AL72" s="99">
        <f t="shared" si="20"/>
        <v>251</v>
      </c>
      <c r="AM72" s="117">
        <f t="shared" si="11"/>
        <v>37650000</v>
      </c>
      <c r="AN72" s="20"/>
    </row>
    <row r="73" spans="1:40">
      <c r="G73" t="s">
        <v>4105</v>
      </c>
      <c r="K73" t="s">
        <v>4582</v>
      </c>
      <c r="M73" t="s">
        <v>5067</v>
      </c>
      <c r="P73" s="115"/>
      <c r="Q73" s="169">
        <v>30004376</v>
      </c>
      <c r="R73" s="19" t="s">
        <v>5074</v>
      </c>
      <c r="S73" s="198">
        <f>S72-7</f>
        <v>-7</v>
      </c>
      <c r="T73" s="190" t="s">
        <v>5075</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250</v>
      </c>
      <c r="AM73" s="180">
        <f t="shared" si="11"/>
        <v>7250000000</v>
      </c>
      <c r="AN73" s="179" t="s">
        <v>4185</v>
      </c>
    </row>
    <row r="74" spans="1:40">
      <c r="K74" t="s">
        <v>4537</v>
      </c>
      <c r="P74" s="115"/>
      <c r="Q74" s="169"/>
      <c r="R74" s="168"/>
      <c r="S74" s="113"/>
      <c r="T74" s="113"/>
      <c r="U74" s="168"/>
      <c r="V74" s="168">
        <f t="shared" si="17"/>
        <v>0</v>
      </c>
      <c r="W74" s="32">
        <f t="shared" si="18"/>
        <v>0</v>
      </c>
      <c r="X74" s="32">
        <f t="shared" si="19"/>
        <v>0</v>
      </c>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Q75" s="113">
        <f>SUM(N26:N27)-SUM(Q58:Q74)</f>
        <v>4829612.5</v>
      </c>
      <c r="R75" s="168"/>
      <c r="S75" s="168"/>
      <c r="T75" s="168"/>
      <c r="U75" s="168"/>
      <c r="V75" s="168"/>
      <c r="W75" s="32"/>
      <c r="X75" s="32"/>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R76" s="115"/>
      <c r="S76" s="115"/>
      <c r="T76" s="115" t="s">
        <v>25</v>
      </c>
      <c r="U76" s="115"/>
      <c r="V76" s="115"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949</v>
      </c>
      <c r="R77" s="99">
        <v>1.03E-2</v>
      </c>
      <c r="S77" s="26" t="s">
        <v>25</v>
      </c>
      <c r="T77" t="s">
        <v>25</v>
      </c>
      <c r="U77" s="96" t="s">
        <v>25</v>
      </c>
      <c r="V77" s="115" t="s">
        <v>25</v>
      </c>
      <c r="W77" s="195" t="s">
        <v>25</v>
      </c>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Q78" s="99" t="s">
        <v>61</v>
      </c>
      <c r="R78" s="99">
        <v>4.8999999999999998E-3</v>
      </c>
      <c r="T78" t="s">
        <v>25</v>
      </c>
      <c r="V78" t="s">
        <v>25</v>
      </c>
      <c r="W78" s="195" t="s">
        <v>25</v>
      </c>
      <c r="X78" s="195"/>
      <c r="AD78" s="115"/>
      <c r="AE78" s="115"/>
      <c r="AH78" s="20">
        <v>58</v>
      </c>
      <c r="AI78" s="117" t="s">
        <v>4291</v>
      </c>
      <c r="AJ78" s="117">
        <v>-11400000</v>
      </c>
      <c r="AK78" s="20">
        <v>13</v>
      </c>
      <c r="AL78" s="99">
        <f t="shared" ref="AL78:AL83" si="21">AL79+AK78</f>
        <v>220</v>
      </c>
      <c r="AM78" s="117">
        <f t="shared" si="11"/>
        <v>-2508000000</v>
      </c>
      <c r="AN78" s="20"/>
    </row>
    <row r="79" spans="1:40">
      <c r="D79" s="1" t="s">
        <v>306</v>
      </c>
      <c r="E79" s="1">
        <v>80000</v>
      </c>
      <c r="G79" s="47">
        <v>0</v>
      </c>
      <c r="H79" s="202" t="s">
        <v>784</v>
      </c>
      <c r="K79" s="96"/>
      <c r="M79" s="194" t="s">
        <v>4533</v>
      </c>
      <c r="Q79" s="99" t="s">
        <v>6</v>
      </c>
      <c r="R79" s="99">
        <f>R77+R78</f>
        <v>1.52E-2</v>
      </c>
      <c r="T79" t="s">
        <v>25</v>
      </c>
      <c r="U79" s="96" t="s">
        <v>25</v>
      </c>
      <c r="V79" t="s">
        <v>25</v>
      </c>
      <c r="W79" s="195"/>
      <c r="X79" s="195"/>
      <c r="AC79" s="115"/>
      <c r="AD79" s="115"/>
      <c r="AE79" s="115"/>
      <c r="AF79"/>
      <c r="AH79" s="20">
        <v>59</v>
      </c>
      <c r="AI79" s="117" t="s">
        <v>4346</v>
      </c>
      <c r="AJ79" s="117">
        <v>-10000000</v>
      </c>
      <c r="AK79" s="20">
        <v>1</v>
      </c>
      <c r="AL79" s="99">
        <f t="shared" si="21"/>
        <v>207</v>
      </c>
      <c r="AM79" s="117">
        <f>AJ79*AL79</f>
        <v>-2070000000</v>
      </c>
      <c r="AN79" s="20"/>
    </row>
    <row r="80" spans="1:40">
      <c r="D80" s="31" t="s">
        <v>307</v>
      </c>
      <c r="E80" s="1">
        <v>150000</v>
      </c>
      <c r="G80" s="47">
        <v>0</v>
      </c>
      <c r="H80" s="202" t="s">
        <v>785</v>
      </c>
      <c r="J80" t="s">
        <v>25</v>
      </c>
      <c r="K80" s="96"/>
      <c r="M80" t="s">
        <v>4534</v>
      </c>
      <c r="W80" s="195"/>
      <c r="X80" s="195"/>
      <c r="AC80" s="115"/>
      <c r="AD80" s="115"/>
      <c r="AE80" s="115"/>
      <c r="AF80"/>
      <c r="AH80" s="20">
        <v>60</v>
      </c>
      <c r="AI80" s="117" t="s">
        <v>4347</v>
      </c>
      <c r="AJ80" s="117">
        <v>-2450000</v>
      </c>
      <c r="AK80" s="20">
        <v>5</v>
      </c>
      <c r="AL80" s="99">
        <f t="shared" si="21"/>
        <v>206</v>
      </c>
      <c r="AM80" s="117">
        <f>AJ80*AL80</f>
        <v>-504700000</v>
      </c>
      <c r="AN80" s="20"/>
    </row>
    <row r="81" spans="4:52" ht="30">
      <c r="D81" s="31" t="s">
        <v>308</v>
      </c>
      <c r="E81" s="1">
        <v>300000</v>
      </c>
      <c r="G81" s="47">
        <v>500000</v>
      </c>
      <c r="H81" s="48" t="s">
        <v>786</v>
      </c>
      <c r="K81" s="96"/>
      <c r="M81" t="s">
        <v>4537</v>
      </c>
      <c r="Q81" s="73" t="s">
        <v>4294</v>
      </c>
      <c r="R81" s="112"/>
      <c r="S81" s="112"/>
      <c r="T81" s="112"/>
      <c r="U81" s="168" t="s">
        <v>4362</v>
      </c>
      <c r="V81" s="36" t="s">
        <v>4364</v>
      </c>
      <c r="W81" s="32"/>
      <c r="X81" s="32"/>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112" t="s">
        <v>267</v>
      </c>
      <c r="R82" s="112" t="s">
        <v>180</v>
      </c>
      <c r="S82" s="112" t="s">
        <v>183</v>
      </c>
      <c r="T82" s="112" t="s">
        <v>8</v>
      </c>
      <c r="U82" s="168"/>
      <c r="V82" s="99"/>
      <c r="W82" s="32">
        <v>2</v>
      </c>
      <c r="X82" s="32">
        <v>4</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184971545</v>
      </c>
      <c r="R83" s="5" t="s">
        <v>4172</v>
      </c>
      <c r="S83" s="5">
        <v>254</v>
      </c>
      <c r="T83" s="5" t="s">
        <v>4345</v>
      </c>
      <c r="U83" s="168">
        <v>192</v>
      </c>
      <c r="V83" s="99">
        <f t="shared" ref="V83:V114" si="22">U83*(1+$R$79+$Q$15*S83/36500)</f>
        <v>232.3294684931507</v>
      </c>
      <c r="W83" s="32">
        <f t="shared" ref="W83:W101" si="23">V83*(1+$W$19/100)</f>
        <v>236.97605786301372</v>
      </c>
      <c r="X83" s="32">
        <f t="shared" ref="X83:X101" si="24">V83*(1+$X$19/100)</f>
        <v>241.62264723287674</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9560464</v>
      </c>
      <c r="R84" s="5" t="s">
        <v>4298</v>
      </c>
      <c r="S84" s="5">
        <f>S83-31</f>
        <v>223</v>
      </c>
      <c r="T84" s="5" t="s">
        <v>4311</v>
      </c>
      <c r="U84" s="168">
        <v>214.57</v>
      </c>
      <c r="V84" s="99">
        <f t="shared" si="22"/>
        <v>254.53763057534249</v>
      </c>
      <c r="W84" s="32">
        <f t="shared" si="23"/>
        <v>259.62838318684936</v>
      </c>
      <c r="X84" s="32">
        <f t="shared" si="24"/>
        <v>264.71913579835621</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2000000</v>
      </c>
      <c r="R85" s="5" t="s">
        <v>4341</v>
      </c>
      <c r="S85" s="5">
        <f>S84-11</f>
        <v>212</v>
      </c>
      <c r="T85" s="5" t="s">
        <v>4344</v>
      </c>
      <c r="U85" s="168">
        <v>206.8</v>
      </c>
      <c r="V85" s="99">
        <f t="shared" si="22"/>
        <v>243.57527232876717</v>
      </c>
      <c r="W85" s="32">
        <f t="shared" si="23"/>
        <v>248.44677777534253</v>
      </c>
      <c r="X85" s="32">
        <f t="shared" si="24"/>
        <v>253.31828322191785</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1429825</v>
      </c>
      <c r="R86" s="5" t="s">
        <v>4371</v>
      </c>
      <c r="S86" s="5">
        <f>S85-7</f>
        <v>205</v>
      </c>
      <c r="T86" s="5" t="s">
        <v>4380</v>
      </c>
      <c r="U86" s="168">
        <v>203.9</v>
      </c>
      <c r="V86" s="99">
        <f t="shared" si="22"/>
        <v>239.06464986301373</v>
      </c>
      <c r="W86" s="32">
        <f t="shared" si="23"/>
        <v>243.84594286027399</v>
      </c>
      <c r="X86" s="32">
        <f t="shared" si="24"/>
        <v>248.62723585753429</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1420747</v>
      </c>
      <c r="R87" s="5" t="s">
        <v>4371</v>
      </c>
      <c r="S87" s="5">
        <f>S86</f>
        <v>205</v>
      </c>
      <c r="T87" s="5" t="s">
        <v>4382</v>
      </c>
      <c r="U87" s="168">
        <v>203.1</v>
      </c>
      <c r="V87" s="99">
        <f t="shared" si="22"/>
        <v>238.12668164383564</v>
      </c>
      <c r="W87" s="32">
        <f t="shared" si="23"/>
        <v>242.88921527671235</v>
      </c>
      <c r="X87" s="32">
        <f t="shared" si="24"/>
        <v>247.65174890958906</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2010885</v>
      </c>
      <c r="R88" s="5" t="s">
        <v>4391</v>
      </c>
      <c r="S88" s="5">
        <f>S87-3</f>
        <v>202</v>
      </c>
      <c r="T88" s="5" t="s">
        <v>4397</v>
      </c>
      <c r="U88" s="168">
        <v>202.1</v>
      </c>
      <c r="V88" s="99">
        <f t="shared" si="22"/>
        <v>236.48911452054799</v>
      </c>
      <c r="W88" s="32">
        <f t="shared" si="23"/>
        <v>241.21889681095894</v>
      </c>
      <c r="X88" s="32">
        <f t="shared" si="24"/>
        <v>245.94867910136992</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1994038</v>
      </c>
      <c r="R89" s="5" t="s">
        <v>4402</v>
      </c>
      <c r="S89" s="5">
        <f>S88-3</f>
        <v>199</v>
      </c>
      <c r="T89" s="5" t="s">
        <v>4418</v>
      </c>
      <c r="U89" s="168">
        <v>5560.3</v>
      </c>
      <c r="V89" s="99">
        <f t="shared" si="22"/>
        <v>6493.6382476712342</v>
      </c>
      <c r="W89" s="32">
        <f t="shared" si="23"/>
        <v>6623.5110126246591</v>
      </c>
      <c r="X89" s="32">
        <f t="shared" si="24"/>
        <v>6753.3837775780839</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444</v>
      </c>
      <c r="R90" s="5" t="s">
        <v>4402</v>
      </c>
      <c r="S90" s="5">
        <f>S89</f>
        <v>199</v>
      </c>
      <c r="T90" s="5" t="s">
        <v>4607</v>
      </c>
      <c r="U90" s="168">
        <v>441.8</v>
      </c>
      <c r="V90" s="99">
        <f t="shared" si="22"/>
        <v>515.95945863013708</v>
      </c>
      <c r="W90" s="32">
        <f t="shared" si="23"/>
        <v>526.27864780273978</v>
      </c>
      <c r="X90" s="32">
        <f t="shared" si="24"/>
        <v>536.5978369753426</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1971103</v>
      </c>
      <c r="R91" s="5" t="s">
        <v>4413</v>
      </c>
      <c r="S91" s="5">
        <f>S90-1</f>
        <v>198</v>
      </c>
      <c r="T91" s="5" t="s">
        <v>4414</v>
      </c>
      <c r="U91" s="168">
        <v>196.2</v>
      </c>
      <c r="V91" s="99">
        <f t="shared" si="22"/>
        <v>228.98313863013698</v>
      </c>
      <c r="W91" s="32">
        <f t="shared" si="23"/>
        <v>233.56280140273972</v>
      </c>
      <c r="X91" s="32">
        <f t="shared" si="24"/>
        <v>238.14246417534247</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1049856</v>
      </c>
      <c r="R92" s="5" t="s">
        <v>4436</v>
      </c>
      <c r="S92" s="5">
        <f>S91-6</f>
        <v>192</v>
      </c>
      <c r="T92" s="5" t="s">
        <v>4475</v>
      </c>
      <c r="U92" s="168">
        <v>184.5</v>
      </c>
      <c r="V92" s="99">
        <f t="shared" si="22"/>
        <v>214.47897534246579</v>
      </c>
      <c r="W92" s="32">
        <f t="shared" si="23"/>
        <v>218.76855484931511</v>
      </c>
      <c r="X92" s="32">
        <f t="shared" si="24"/>
        <v>223.05813435616443</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1783234</v>
      </c>
      <c r="R93" s="5" t="s">
        <v>4438</v>
      </c>
      <c r="S93" s="5">
        <f>S92-2</f>
        <v>190</v>
      </c>
      <c r="T93" s="5" t="s">
        <v>4439</v>
      </c>
      <c r="U93" s="168">
        <v>177.5</v>
      </c>
      <c r="V93" s="99">
        <f t="shared" si="22"/>
        <v>206.06923287671236</v>
      </c>
      <c r="W93" s="32">
        <f t="shared" si="23"/>
        <v>210.19061753424663</v>
      </c>
      <c r="X93" s="32">
        <f t="shared" si="24"/>
        <v>214.31200219178086</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1662335</v>
      </c>
      <c r="R94" s="5" t="s">
        <v>4442</v>
      </c>
      <c r="S94" s="5">
        <f>S93-5</f>
        <v>185</v>
      </c>
      <c r="T94" s="219" t="s">
        <v>4590</v>
      </c>
      <c r="U94" s="168">
        <v>190.3</v>
      </c>
      <c r="V94" s="99">
        <f t="shared" si="22"/>
        <v>220.19951890410962</v>
      </c>
      <c r="W94" s="32">
        <f t="shared" si="23"/>
        <v>224.60350928219182</v>
      </c>
      <c r="X94" s="32">
        <f t="shared" si="24"/>
        <v>229.00749966027402</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2272487</v>
      </c>
      <c r="R95" s="5" t="s">
        <v>4600</v>
      </c>
      <c r="S95" s="5">
        <f>S94-42</f>
        <v>143</v>
      </c>
      <c r="T95" s="5" t="s">
        <v>4601</v>
      </c>
      <c r="U95" s="168">
        <v>174.9</v>
      </c>
      <c r="V95" s="99">
        <f t="shared" si="22"/>
        <v>196.74477041095892</v>
      </c>
      <c r="W95" s="32">
        <f t="shared" si="23"/>
        <v>200.6796658191781</v>
      </c>
      <c r="X95" s="32">
        <f t="shared" si="24"/>
        <v>204.61456122739727</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3975257</v>
      </c>
      <c r="R96" s="5" t="s">
        <v>4605</v>
      </c>
      <c r="S96" s="5">
        <f>S95-1</f>
        <v>142</v>
      </c>
      <c r="T96" s="5" t="s">
        <v>4606</v>
      </c>
      <c r="U96" s="168">
        <v>173</v>
      </c>
      <c r="V96" s="99">
        <f t="shared" si="22"/>
        <v>194.47475068493154</v>
      </c>
      <c r="W96" s="32">
        <f t="shared" si="23"/>
        <v>198.36424569863016</v>
      </c>
      <c r="X96" s="32">
        <f t="shared" si="24"/>
        <v>202.25374071232881</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$L$105/G97</f>
        <v>22482.435597189695</v>
      </c>
      <c r="G97" s="200">
        <f>P43</f>
        <v>213.5</v>
      </c>
      <c r="H97" s="200" t="s">
        <v>4798</v>
      </c>
      <c r="I97" s="200" t="s">
        <v>4797</v>
      </c>
      <c r="J97" s="215" t="s">
        <v>4242</v>
      </c>
      <c r="K97" s="200">
        <v>127</v>
      </c>
      <c r="L97" s="216">
        <f>K97*$L$105</f>
        <v>609600000</v>
      </c>
      <c r="M97" s="216">
        <f>N21+N27+N43</f>
        <v>852486285</v>
      </c>
      <c r="N97" s="184">
        <f t="shared" ref="N97:N101" si="26">L97-M97</f>
        <v>-242886285</v>
      </c>
      <c r="Q97" s="35">
        <v>1031662</v>
      </c>
      <c r="R97" s="5" t="s">
        <v>4233</v>
      </c>
      <c r="S97" s="5">
        <f>S96-1</f>
        <v>141</v>
      </c>
      <c r="T97" s="5" t="s">
        <v>4609</v>
      </c>
      <c r="U97" s="168">
        <v>171.2</v>
      </c>
      <c r="V97" s="99">
        <f t="shared" si="22"/>
        <v>192.31998246575344</v>
      </c>
      <c r="W97" s="32">
        <f t="shared" si="23"/>
        <v>196.1663821150685</v>
      </c>
      <c r="X97" s="32">
        <f t="shared" si="24"/>
        <v>200.01278176438359</v>
      </c>
      <c r="Y97">
        <v>6980</v>
      </c>
      <c r="AH97" s="99">
        <v>77</v>
      </c>
      <c r="AI97" s="113" t="s">
        <v>4511</v>
      </c>
      <c r="AJ97" s="113">
        <v>1900000</v>
      </c>
      <c r="AK97" s="99">
        <v>3</v>
      </c>
      <c r="AL97" s="99">
        <f t="shared" si="25"/>
        <v>167</v>
      </c>
      <c r="AM97" s="117">
        <f t="shared" si="11"/>
        <v>317300000</v>
      </c>
      <c r="AN97" s="99"/>
    </row>
    <row r="98" spans="4:47">
      <c r="D98" s="2"/>
      <c r="E98" s="3"/>
      <c r="F98" s="214">
        <f>$L$105/G98</f>
        <v>992.55583126550869</v>
      </c>
      <c r="G98" s="214">
        <f>P41</f>
        <v>4836</v>
      </c>
      <c r="H98" s="214" t="s">
        <v>4990</v>
      </c>
      <c r="I98" s="214" t="s">
        <v>4991</v>
      </c>
      <c r="J98" s="32" t="s">
        <v>4393</v>
      </c>
      <c r="K98" s="214">
        <v>44</v>
      </c>
      <c r="L98" s="1">
        <f>K98*$L$105</f>
        <v>211200000</v>
      </c>
      <c r="M98" s="1">
        <f>N23+N41+N26</f>
        <v>211125252</v>
      </c>
      <c r="N98" s="113">
        <f t="shared" si="26"/>
        <v>74748</v>
      </c>
      <c r="Q98" s="35">
        <v>577500</v>
      </c>
      <c r="R98" s="5" t="s">
        <v>4233</v>
      </c>
      <c r="S98" s="5">
        <f>S97</f>
        <v>141</v>
      </c>
      <c r="T98" s="5" t="s">
        <v>4613</v>
      </c>
      <c r="U98" s="168">
        <v>175</v>
      </c>
      <c r="V98" s="99">
        <f t="shared" si="22"/>
        <v>196.58876712328771</v>
      </c>
      <c r="W98" s="32">
        <f t="shared" si="23"/>
        <v>200.52054246575346</v>
      </c>
      <c r="X98" s="32">
        <f t="shared" si="24"/>
        <v>204.45231780821922</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K99*$L$105</f>
        <v>0</v>
      </c>
      <c r="M99" s="216">
        <f>0</f>
        <v>0</v>
      </c>
      <c r="N99" s="184">
        <f t="shared" si="26"/>
        <v>0</v>
      </c>
      <c r="Q99" s="35">
        <v>12636487</v>
      </c>
      <c r="R99" s="5" t="s">
        <v>3691</v>
      </c>
      <c r="S99" s="5">
        <f>S98-2</f>
        <v>139</v>
      </c>
      <c r="T99" s="5" t="s">
        <v>4616</v>
      </c>
      <c r="U99" s="168">
        <v>172.1</v>
      </c>
      <c r="V99" s="99">
        <f t="shared" si="22"/>
        <v>193.06696657534249</v>
      </c>
      <c r="W99" s="32">
        <f t="shared" si="23"/>
        <v>196.92830590684935</v>
      </c>
      <c r="X99" s="32">
        <f t="shared" si="24"/>
        <v>200.7896452383562</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$L$105/G100</f>
        <v>6238.6275019495715</v>
      </c>
      <c r="G100" s="214">
        <f>P42</f>
        <v>769.4</v>
      </c>
      <c r="H100" s="214" t="s">
        <v>4686</v>
      </c>
      <c r="I100" s="214" t="s">
        <v>4685</v>
      </c>
      <c r="J100" s="32" t="s">
        <v>4408</v>
      </c>
      <c r="K100" s="214">
        <v>44</v>
      </c>
      <c r="L100" s="1">
        <f>K100*$L$105</f>
        <v>211200000</v>
      </c>
      <c r="M100" s="1">
        <f>N42+N22</f>
        <v>204821282</v>
      </c>
      <c r="N100" s="113">
        <f t="shared" si="26"/>
        <v>6378718</v>
      </c>
      <c r="Q100" s="169">
        <v>60508</v>
      </c>
      <c r="R100" s="168" t="s">
        <v>4619</v>
      </c>
      <c r="S100" s="168">
        <f>S99-3</f>
        <v>136</v>
      </c>
      <c r="T100" s="168" t="s">
        <v>4911</v>
      </c>
      <c r="U100" s="168">
        <v>1204.7</v>
      </c>
      <c r="V100" s="99">
        <f t="shared" si="22"/>
        <v>1348.6963057534249</v>
      </c>
      <c r="W100" s="32">
        <f t="shared" si="23"/>
        <v>1375.6702318684934</v>
      </c>
      <c r="X100" s="32">
        <f t="shared" si="24"/>
        <v>1402.6441579835619</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K101*$L$105</f>
        <v>4800000</v>
      </c>
      <c r="M101" s="216">
        <f>N40</f>
        <v>71735</v>
      </c>
      <c r="N101" s="184">
        <f t="shared" si="26"/>
        <v>4728265</v>
      </c>
      <c r="Q101" s="39">
        <v>11121445</v>
      </c>
      <c r="R101" s="5" t="s">
        <v>4619</v>
      </c>
      <c r="S101" s="5">
        <f>S100</f>
        <v>136</v>
      </c>
      <c r="T101" s="5" t="s">
        <v>4810</v>
      </c>
      <c r="U101" s="168">
        <v>171.8</v>
      </c>
      <c r="V101" s="99">
        <f t="shared" si="22"/>
        <v>192.33504219178087</v>
      </c>
      <c r="W101" s="32">
        <f t="shared" si="23"/>
        <v>196.18174303561651</v>
      </c>
      <c r="X101" s="32">
        <f t="shared" si="24"/>
        <v>200.02844387945211</v>
      </c>
      <c r="Y101" s="96">
        <v>0</v>
      </c>
      <c r="AH101" s="99">
        <v>81</v>
      </c>
      <c r="AI101" s="113" t="s">
        <v>4557</v>
      </c>
      <c r="AJ101" s="113">
        <v>400000</v>
      </c>
      <c r="AK101" s="99">
        <v>0</v>
      </c>
      <c r="AL101" s="99">
        <f t="shared" si="25"/>
        <v>157</v>
      </c>
      <c r="AM101" s="117">
        <f t="shared" si="11"/>
        <v>62800000</v>
      </c>
      <c r="AN101" s="99"/>
    </row>
    <row r="102" spans="4:47">
      <c r="F102" s="192"/>
      <c r="G102" s="192"/>
      <c r="H102" s="192"/>
      <c r="I102" s="192"/>
      <c r="J102" s="263" t="s">
        <v>5104</v>
      </c>
      <c r="K102" s="192">
        <v>41</v>
      </c>
      <c r="L102" s="264">
        <f>K102*$L$105</f>
        <v>196800000</v>
      </c>
      <c r="M102" s="264">
        <v>0</v>
      </c>
      <c r="N102" s="86">
        <f>L102-M102</f>
        <v>196800000</v>
      </c>
      <c r="Q102" s="35">
        <v>12656982</v>
      </c>
      <c r="R102" s="5" t="s">
        <v>4628</v>
      </c>
      <c r="S102" s="5">
        <f>S101-2</f>
        <v>134</v>
      </c>
      <c r="T102" s="5" t="s">
        <v>4629</v>
      </c>
      <c r="U102" s="168">
        <v>5249.9</v>
      </c>
      <c r="V102" s="99">
        <f t="shared" si="22"/>
        <v>5869.3594334246582</v>
      </c>
      <c r="W102" s="32">
        <f t="shared" ref="W102:W131" si="27">V102*(1+$W$19/100)</f>
        <v>5986.746622093151</v>
      </c>
      <c r="X102" s="32">
        <f t="shared" ref="X102:X131" si="28">V102*(1+$X$19/100)</f>
        <v>6104.1338107616448</v>
      </c>
      <c r="Y102" s="96">
        <v>0</v>
      </c>
      <c r="AH102" s="99">
        <v>82</v>
      </c>
      <c r="AI102" s="113" t="s">
        <v>4557</v>
      </c>
      <c r="AJ102" s="113">
        <v>-2105421</v>
      </c>
      <c r="AK102" s="99">
        <v>1</v>
      </c>
      <c r="AL102" s="99">
        <f t="shared" si="25"/>
        <v>157</v>
      </c>
      <c r="AM102" s="117">
        <f t="shared" si="11"/>
        <v>-330551097</v>
      </c>
      <c r="AN102" s="99"/>
      <c r="AO102" t="s">
        <v>25</v>
      </c>
    </row>
    <row r="103" spans="4:47">
      <c r="F103" s="214"/>
      <c r="G103" s="214"/>
      <c r="H103" s="214"/>
      <c r="I103" s="214"/>
      <c r="J103" s="32" t="s">
        <v>4772</v>
      </c>
      <c r="K103" s="214"/>
      <c r="L103" s="1"/>
      <c r="M103" s="1"/>
      <c r="N103" s="113">
        <v>50000000</v>
      </c>
      <c r="O103" t="s">
        <v>25</v>
      </c>
      <c r="Q103" s="35">
        <v>48637534</v>
      </c>
      <c r="R103" s="5" t="s">
        <v>4630</v>
      </c>
      <c r="S103" s="5">
        <f>S102-1</f>
        <v>133</v>
      </c>
      <c r="T103" s="5" t="s">
        <v>4634</v>
      </c>
      <c r="U103" s="168">
        <v>5330</v>
      </c>
      <c r="V103" s="99">
        <f t="shared" si="22"/>
        <v>5954.8220273972602</v>
      </c>
      <c r="W103" s="32">
        <f t="shared" si="27"/>
        <v>6073.9184679452055</v>
      </c>
      <c r="X103" s="32">
        <f t="shared" si="28"/>
        <v>6193.0149084931509</v>
      </c>
      <c r="Y103" s="96">
        <v>10000</v>
      </c>
      <c r="AH103" s="99">
        <v>83</v>
      </c>
      <c r="AI103" s="113" t="s">
        <v>4560</v>
      </c>
      <c r="AJ103" s="113">
        <v>-5527618</v>
      </c>
      <c r="AK103" s="99">
        <v>0</v>
      </c>
      <c r="AL103" s="99">
        <f t="shared" si="25"/>
        <v>156</v>
      </c>
      <c r="AM103" s="117">
        <f t="shared" si="11"/>
        <v>-862308408</v>
      </c>
      <c r="AN103" s="99"/>
    </row>
    <row r="104" spans="4:47">
      <c r="F104" s="200"/>
      <c r="G104" s="200"/>
      <c r="H104" s="200"/>
      <c r="I104" s="200"/>
      <c r="J104" s="215" t="s">
        <v>4888</v>
      </c>
      <c r="K104" s="200">
        <f>SUM(K97:K102)</f>
        <v>257</v>
      </c>
      <c r="L104" s="216"/>
      <c r="M104" s="216"/>
      <c r="N104" s="184"/>
      <c r="Q104" s="35">
        <v>40048573</v>
      </c>
      <c r="R104" s="5" t="s">
        <v>4630</v>
      </c>
      <c r="S104" s="5">
        <f>S103</f>
        <v>133</v>
      </c>
      <c r="T104" s="5" t="s">
        <v>4635</v>
      </c>
      <c r="U104" s="168">
        <v>498.9</v>
      </c>
      <c r="V104" s="99">
        <f t="shared" si="22"/>
        <v>557.38474849315071</v>
      </c>
      <c r="W104" s="32">
        <f t="shared" si="27"/>
        <v>568.53244346301369</v>
      </c>
      <c r="X104" s="32">
        <f t="shared" si="28"/>
        <v>579.68013843287679</v>
      </c>
      <c r="Y104" s="96">
        <v>5664</v>
      </c>
      <c r="AH104" s="99">
        <v>84</v>
      </c>
      <c r="AI104" s="113" t="s">
        <v>4560</v>
      </c>
      <c r="AJ104" s="113">
        <v>3900000</v>
      </c>
      <c r="AK104" s="99">
        <v>3</v>
      </c>
      <c r="AL104" s="99">
        <f t="shared" si="25"/>
        <v>156</v>
      </c>
      <c r="AM104" s="117">
        <f t="shared" si="11"/>
        <v>608400000</v>
      </c>
      <c r="AN104" s="99"/>
    </row>
    <row r="105" spans="4:47">
      <c r="F105" s="214"/>
      <c r="G105" s="214"/>
      <c r="H105" s="214" t="s">
        <v>25</v>
      </c>
      <c r="I105" s="214"/>
      <c r="J105" s="32"/>
      <c r="K105" s="214">
        <v>3</v>
      </c>
      <c r="L105" s="39">
        <f>10*P44</f>
        <v>4800000</v>
      </c>
      <c r="M105" s="1">
        <f>K105*L105</f>
        <v>14400000</v>
      </c>
      <c r="N105" s="113">
        <f>SUM(N97:N103)-M105</f>
        <v>695446</v>
      </c>
      <c r="P105" s="114"/>
      <c r="Q105" s="35">
        <v>37856769</v>
      </c>
      <c r="R105" s="5" t="s">
        <v>4645</v>
      </c>
      <c r="S105" s="5">
        <f>S104-1</f>
        <v>132</v>
      </c>
      <c r="T105" s="5" t="s">
        <v>4647</v>
      </c>
      <c r="U105" s="168">
        <v>5393.6</v>
      </c>
      <c r="V105" s="99">
        <f t="shared" si="22"/>
        <v>6021.7401336986313</v>
      </c>
      <c r="W105" s="32">
        <f t="shared" si="27"/>
        <v>6142.174936372604</v>
      </c>
      <c r="X105" s="32">
        <f t="shared" si="28"/>
        <v>6262.6097390465766</v>
      </c>
      <c r="Y105" s="96">
        <v>10000</v>
      </c>
      <c r="AH105" s="99">
        <v>85</v>
      </c>
      <c r="AI105" s="113" t="s">
        <v>4561</v>
      </c>
      <c r="AJ105" s="113">
        <v>-3969754</v>
      </c>
      <c r="AK105" s="99">
        <v>1</v>
      </c>
      <c r="AL105" s="99">
        <f t="shared" si="25"/>
        <v>153</v>
      </c>
      <c r="AM105" s="117">
        <f t="shared" si="11"/>
        <v>-607372362</v>
      </c>
      <c r="AN105" s="99"/>
    </row>
    <row r="106" spans="4:47">
      <c r="F106" s="200"/>
      <c r="G106" s="200"/>
      <c r="H106" s="200"/>
      <c r="I106" s="200"/>
      <c r="J106" s="215"/>
      <c r="K106" s="246" t="s">
        <v>4908</v>
      </c>
      <c r="L106" s="216" t="s">
        <v>4252</v>
      </c>
      <c r="M106" s="216" t="s">
        <v>4669</v>
      </c>
      <c r="N106" s="184" t="s">
        <v>4670</v>
      </c>
      <c r="Q106" s="35">
        <v>155151</v>
      </c>
      <c r="R106" s="5" t="s">
        <v>4656</v>
      </c>
      <c r="S106" s="5">
        <f>S105-3</f>
        <v>129</v>
      </c>
      <c r="T106" s="5" t="s">
        <v>4658</v>
      </c>
      <c r="U106" s="168">
        <v>5325.9</v>
      </c>
      <c r="V106" s="99">
        <f t="shared" si="22"/>
        <v>5933.8989073972607</v>
      </c>
      <c r="W106" s="32">
        <f t="shared" si="27"/>
        <v>6052.5768855452061</v>
      </c>
      <c r="X106" s="32">
        <f t="shared" si="28"/>
        <v>6171.2548636931515</v>
      </c>
      <c r="Y106" s="96">
        <v>8695</v>
      </c>
      <c r="AH106" s="99">
        <v>86</v>
      </c>
      <c r="AI106" s="113" t="s">
        <v>4572</v>
      </c>
      <c r="AJ106" s="113">
        <v>-25574455</v>
      </c>
      <c r="AK106" s="99">
        <v>0</v>
      </c>
      <c r="AL106" s="99">
        <f t="shared" si="25"/>
        <v>152</v>
      </c>
      <c r="AM106" s="117">
        <f t="shared" si="11"/>
        <v>-3887317160</v>
      </c>
      <c r="AN106" s="99"/>
      <c r="AP106" t="s">
        <v>25</v>
      </c>
    </row>
    <row r="107" spans="4:47">
      <c r="F107" s="214"/>
      <c r="G107" s="214"/>
      <c r="H107" s="214"/>
      <c r="I107" s="214"/>
      <c r="J107" s="32" t="s">
        <v>4677</v>
      </c>
      <c r="K107" s="214"/>
      <c r="L107" s="1"/>
      <c r="M107" s="1"/>
      <c r="N107" s="113"/>
      <c r="Q107" s="35">
        <v>8938737</v>
      </c>
      <c r="R107" s="5" t="s">
        <v>4661</v>
      </c>
      <c r="S107" s="5">
        <f>S106-1</f>
        <v>128</v>
      </c>
      <c r="T107" s="5" t="s">
        <v>4663</v>
      </c>
      <c r="U107" s="168">
        <v>5179.5</v>
      </c>
      <c r="V107" s="99">
        <f t="shared" si="22"/>
        <v>5766.8127287671232</v>
      </c>
      <c r="W107" s="32">
        <f t="shared" si="27"/>
        <v>5882.1489833424657</v>
      </c>
      <c r="X107" s="32">
        <f t="shared" si="28"/>
        <v>5997.4852379178083</v>
      </c>
      <c r="Y107" s="96"/>
      <c r="AH107" s="99">
        <v>87</v>
      </c>
      <c r="AI107" s="113" t="s">
        <v>4572</v>
      </c>
      <c r="AJ107" s="113">
        <v>4000000</v>
      </c>
      <c r="AK107" s="99">
        <v>1</v>
      </c>
      <c r="AL107" s="99">
        <f t="shared" si="25"/>
        <v>152</v>
      </c>
      <c r="AM107" s="117">
        <f t="shared" si="11"/>
        <v>608000000</v>
      </c>
      <c r="AN107" s="99"/>
    </row>
    <row r="108" spans="4:47">
      <c r="M108" t="s">
        <v>25</v>
      </c>
      <c r="Q108" s="35">
        <v>2595417</v>
      </c>
      <c r="R108" s="5" t="s">
        <v>4671</v>
      </c>
      <c r="S108" s="5">
        <f>S107-1</f>
        <v>127</v>
      </c>
      <c r="T108" s="5" t="s">
        <v>4672</v>
      </c>
      <c r="U108" s="168">
        <v>4803</v>
      </c>
      <c r="V108" s="99">
        <f t="shared" si="22"/>
        <v>5343.9362301369865</v>
      </c>
      <c r="W108" s="32">
        <f t="shared" si="27"/>
        <v>5450.8149547397261</v>
      </c>
      <c r="X108" s="32">
        <f t="shared" si="28"/>
        <v>5557.6936793424666</v>
      </c>
      <c r="Y108" s="96"/>
      <c r="AH108" s="99">
        <v>88</v>
      </c>
      <c r="AI108" s="113" t="s">
        <v>994</v>
      </c>
      <c r="AJ108" s="113">
        <v>-5000000</v>
      </c>
      <c r="AK108" s="99">
        <v>2</v>
      </c>
      <c r="AL108" s="99">
        <f t="shared" si="25"/>
        <v>151</v>
      </c>
      <c r="AM108" s="117">
        <f t="shared" si="11"/>
        <v>-755000000</v>
      </c>
      <c r="AN108" s="99"/>
    </row>
    <row r="109" spans="4:47">
      <c r="P109" s="114"/>
      <c r="Q109" s="35">
        <v>559461</v>
      </c>
      <c r="R109" s="5" t="s">
        <v>4674</v>
      </c>
      <c r="S109" s="5">
        <f>S108-1</f>
        <v>126</v>
      </c>
      <c r="T109" s="5" t="s">
        <v>4681</v>
      </c>
      <c r="U109" s="211">
        <v>508.1</v>
      </c>
      <c r="V109" s="99">
        <f t="shared" si="22"/>
        <v>564.93481315068505</v>
      </c>
      <c r="W109" s="32">
        <f t="shared" si="27"/>
        <v>576.23350941369881</v>
      </c>
      <c r="X109" s="32">
        <f t="shared" si="28"/>
        <v>587.53220567671246</v>
      </c>
      <c r="Y109" s="96"/>
      <c r="AD109" s="96"/>
      <c r="AE109"/>
      <c r="AF109"/>
      <c r="AH109" s="99">
        <v>89</v>
      </c>
      <c r="AI109" s="113" t="s">
        <v>4577</v>
      </c>
      <c r="AJ109" s="113">
        <v>10000000</v>
      </c>
      <c r="AK109" s="99">
        <v>4</v>
      </c>
      <c r="AL109" s="99">
        <f t="shared" si="25"/>
        <v>149</v>
      </c>
      <c r="AM109" s="117">
        <f t="shared" si="11"/>
        <v>1490000000</v>
      </c>
      <c r="AN109" s="99"/>
    </row>
    <row r="110" spans="4:47">
      <c r="K110" s="168" t="s">
        <v>4539</v>
      </c>
      <c r="L110" s="168" t="s">
        <v>4540</v>
      </c>
      <c r="M110" s="168" t="s">
        <v>4434</v>
      </c>
      <c r="N110" s="56" t="s">
        <v>190</v>
      </c>
      <c r="Q110" s="35">
        <v>622942</v>
      </c>
      <c r="R110" s="5" t="s">
        <v>4688</v>
      </c>
      <c r="S110" s="5">
        <f>S109-1</f>
        <v>125</v>
      </c>
      <c r="T110" s="5" t="s">
        <v>4689</v>
      </c>
      <c r="U110" s="211">
        <v>503.3</v>
      </c>
      <c r="V110" s="99">
        <f t="shared" si="22"/>
        <v>559.21180383561648</v>
      </c>
      <c r="W110" s="32">
        <f t="shared" si="27"/>
        <v>570.39603991232877</v>
      </c>
      <c r="X110" s="32">
        <f t="shared" si="28"/>
        <v>581.58027598904118</v>
      </c>
      <c r="AH110" s="99">
        <v>90</v>
      </c>
      <c r="AI110" s="113" t="s">
        <v>4579</v>
      </c>
      <c r="AJ110" s="113">
        <v>-5241937</v>
      </c>
      <c r="AK110" s="99">
        <v>0</v>
      </c>
      <c r="AL110" s="99">
        <f t="shared" si="25"/>
        <v>145</v>
      </c>
      <c r="AM110" s="117">
        <f t="shared" si="11"/>
        <v>-760080865</v>
      </c>
      <c r="AN110" s="99"/>
    </row>
    <row r="111" spans="4:47">
      <c r="K111" s="168" t="s">
        <v>4242</v>
      </c>
      <c r="L111" s="169">
        <v>1100000</v>
      </c>
      <c r="M111" s="169">
        <v>1637000</v>
      </c>
      <c r="N111" s="168">
        <f t="shared" ref="N111:N119" si="29">(M111-L111)*100/L111</f>
        <v>48.81818181818182</v>
      </c>
      <c r="Q111" s="35">
        <v>1472140</v>
      </c>
      <c r="R111" s="5" t="s">
        <v>4694</v>
      </c>
      <c r="S111" s="5">
        <f>S110-3</f>
        <v>122</v>
      </c>
      <c r="T111" s="5" t="s">
        <v>4696</v>
      </c>
      <c r="U111" s="168">
        <v>502</v>
      </c>
      <c r="V111" s="99">
        <f t="shared" si="22"/>
        <v>556.61209863013698</v>
      </c>
      <c r="W111" s="32">
        <f t="shared" si="27"/>
        <v>567.74434060273973</v>
      </c>
      <c r="X111" s="32">
        <f t="shared" si="28"/>
        <v>578.87658257534247</v>
      </c>
      <c r="AH111" s="99">
        <v>91</v>
      </c>
      <c r="AI111" s="113" t="s">
        <v>4579</v>
      </c>
      <c r="AJ111" s="113">
        <v>21900000</v>
      </c>
      <c r="AK111" s="99">
        <v>2</v>
      </c>
      <c r="AL111" s="99">
        <f t="shared" si="25"/>
        <v>145</v>
      </c>
      <c r="AM111" s="117">
        <f t="shared" si="11"/>
        <v>3175500000</v>
      </c>
      <c r="AN111" s="99"/>
      <c r="AP111" t="s">
        <v>25</v>
      </c>
      <c r="AU111"/>
    </row>
    <row r="112" spans="4:47">
      <c r="F112" s="214"/>
      <c r="G112" s="214"/>
      <c r="H112" s="214"/>
      <c r="I112" s="214"/>
      <c r="J112" s="214" t="s">
        <v>4896</v>
      </c>
      <c r="K112" s="5" t="s">
        <v>4534</v>
      </c>
      <c r="L112" s="169">
        <v>1100000</v>
      </c>
      <c r="M112" s="169">
        <v>4748000</v>
      </c>
      <c r="N112" s="168">
        <f t="shared" si="29"/>
        <v>331.63636363636363</v>
      </c>
      <c r="Q112" s="35">
        <v>4394591</v>
      </c>
      <c r="R112" s="5" t="s">
        <v>4698</v>
      </c>
      <c r="S112" s="5">
        <f>S111-1</f>
        <v>121</v>
      </c>
      <c r="T112" s="5" t="s">
        <v>4699</v>
      </c>
      <c r="U112" s="168">
        <v>481.7</v>
      </c>
      <c r="V112" s="99">
        <f t="shared" si="22"/>
        <v>533.73415780821927</v>
      </c>
      <c r="W112" s="32">
        <f t="shared" si="27"/>
        <v>544.40884096438367</v>
      </c>
      <c r="X112" s="32">
        <f t="shared" si="28"/>
        <v>555.08352412054808</v>
      </c>
      <c r="Y112">
        <v>13000</v>
      </c>
      <c r="AH112" s="99">
        <v>92</v>
      </c>
      <c r="AI112" s="113" t="s">
        <v>4587</v>
      </c>
      <c r="AJ112" s="113">
        <v>-15000000</v>
      </c>
      <c r="AK112" s="99">
        <v>0</v>
      </c>
      <c r="AL112" s="99">
        <f t="shared" si="25"/>
        <v>143</v>
      </c>
      <c r="AM112" s="117">
        <f t="shared" si="11"/>
        <v>-2145000000</v>
      </c>
      <c r="AN112" s="99"/>
      <c r="AO112" t="s">
        <v>25</v>
      </c>
    </row>
    <row r="113" spans="6:46">
      <c r="F113" s="214" t="s">
        <v>4362</v>
      </c>
      <c r="G113" s="214" t="s">
        <v>941</v>
      </c>
      <c r="H113" s="214" t="s">
        <v>4539</v>
      </c>
      <c r="I113" s="214" t="s">
        <v>937</v>
      </c>
      <c r="J113" s="214" t="s">
        <v>4769</v>
      </c>
      <c r="K113" s="5" t="s">
        <v>4535</v>
      </c>
      <c r="L113" s="169">
        <v>1100000</v>
      </c>
      <c r="M113" s="169">
        <v>5137000</v>
      </c>
      <c r="N113" s="168">
        <f t="shared" si="29"/>
        <v>367</v>
      </c>
      <c r="Q113" s="117">
        <v>5924703</v>
      </c>
      <c r="R113" s="19" t="s">
        <v>4721</v>
      </c>
      <c r="S113" s="19">
        <f>S112-13</f>
        <v>108</v>
      </c>
      <c r="T113" s="19" t="s">
        <v>4799</v>
      </c>
      <c r="U113" s="214">
        <v>489</v>
      </c>
      <c r="V113" s="99">
        <f t="shared" si="22"/>
        <v>536.94611506849321</v>
      </c>
      <c r="W113" s="32">
        <f t="shared" si="27"/>
        <v>547.68503736986304</v>
      </c>
      <c r="X113" s="32">
        <f t="shared" si="28"/>
        <v>558.42395967123298</v>
      </c>
      <c r="Y113" t="s">
        <v>25</v>
      </c>
      <c r="AH113" s="99">
        <v>93</v>
      </c>
      <c r="AI113" s="113" t="s">
        <v>4587</v>
      </c>
      <c r="AJ113" s="113">
        <v>3000000</v>
      </c>
      <c r="AK113" s="99">
        <v>1</v>
      </c>
      <c r="AL113" s="99">
        <f t="shared" si="25"/>
        <v>143</v>
      </c>
      <c r="AM113" s="117">
        <f t="shared" si="11"/>
        <v>429000000</v>
      </c>
      <c r="AN113" s="99"/>
    </row>
    <row r="114" spans="6:46">
      <c r="F114" s="1">
        <v>3775.1</v>
      </c>
      <c r="G114" s="1">
        <v>4200</v>
      </c>
      <c r="H114" s="214" t="s">
        <v>4389</v>
      </c>
      <c r="I114" s="214">
        <v>1000</v>
      </c>
      <c r="J114" s="1">
        <f>I114*G114</f>
        <v>4200000</v>
      </c>
      <c r="K114" s="19" t="s">
        <v>4389</v>
      </c>
      <c r="L114" s="169">
        <v>1100000</v>
      </c>
      <c r="M114" s="169">
        <v>4300000</v>
      </c>
      <c r="N114" s="168">
        <f t="shared" si="29"/>
        <v>290.90909090909093</v>
      </c>
      <c r="P114" s="114"/>
      <c r="Q114" s="117">
        <v>24695044</v>
      </c>
      <c r="R114" s="19" t="s">
        <v>4768</v>
      </c>
      <c r="S114" s="19">
        <f>S113-10</f>
        <v>98</v>
      </c>
      <c r="T114" s="19" t="s">
        <v>4771</v>
      </c>
      <c r="U114" s="214">
        <v>5249.5</v>
      </c>
      <c r="V114" s="99">
        <f t="shared" si="22"/>
        <v>5723.9397424657545</v>
      </c>
      <c r="W114" s="32">
        <f t="shared" si="27"/>
        <v>5838.4185373150694</v>
      </c>
      <c r="X114" s="32">
        <f t="shared" si="28"/>
        <v>5952.8973321643853</v>
      </c>
      <c r="Y114" t="s">
        <v>25</v>
      </c>
      <c r="AH114" s="99">
        <v>94</v>
      </c>
      <c r="AI114" s="113" t="s">
        <v>4591</v>
      </c>
      <c r="AJ114" s="113">
        <v>-2103736</v>
      </c>
      <c r="AK114" s="99">
        <v>0</v>
      </c>
      <c r="AL114" s="99">
        <f t="shared" si="25"/>
        <v>142</v>
      </c>
      <c r="AM114" s="117">
        <f t="shared" si="11"/>
        <v>-298730512</v>
      </c>
      <c r="AN114" s="99"/>
    </row>
    <row r="115" spans="6:46">
      <c r="F115" s="1">
        <v>6250.1</v>
      </c>
      <c r="G115" s="1">
        <f>P41</f>
        <v>4836</v>
      </c>
      <c r="H115" s="214" t="s">
        <v>4897</v>
      </c>
      <c r="I115" s="214">
        <v>1000</v>
      </c>
      <c r="J115" s="1">
        <f>I115*G115+1460000</f>
        <v>6296000</v>
      </c>
      <c r="K115" s="5" t="s">
        <v>4408</v>
      </c>
      <c r="L115" s="169">
        <v>1100000</v>
      </c>
      <c r="M115" s="169">
        <v>3191000</v>
      </c>
      <c r="N115" s="168">
        <f t="shared" si="29"/>
        <v>190.09090909090909</v>
      </c>
      <c r="Q115" s="117">
        <v>5416530</v>
      </c>
      <c r="R115" s="19" t="s">
        <v>4777</v>
      </c>
      <c r="S115" s="19">
        <f>S114-1</f>
        <v>97</v>
      </c>
      <c r="T115" s="19" t="s">
        <v>4832</v>
      </c>
      <c r="U115" s="214">
        <v>5235</v>
      </c>
      <c r="V115" s="99">
        <f t="shared" ref="V115:V131" si="30">U115*(1+$R$79+$Q$15*S115/36500)</f>
        <v>5704.1133698630138</v>
      </c>
      <c r="W115" s="32">
        <f t="shared" si="27"/>
        <v>5818.1956372602745</v>
      </c>
      <c r="X115" s="32">
        <f t="shared" si="28"/>
        <v>5932.2779046575342</v>
      </c>
      <c r="AH115" s="99">
        <v>95</v>
      </c>
      <c r="AI115" s="113" t="s">
        <v>4591</v>
      </c>
      <c r="AJ115" s="113">
        <v>220000</v>
      </c>
      <c r="AK115" s="99">
        <v>3</v>
      </c>
      <c r="AL115" s="99">
        <f t="shared" si="25"/>
        <v>142</v>
      </c>
      <c r="AM115" s="117">
        <f t="shared" si="11"/>
        <v>31240000</v>
      </c>
      <c r="AN115" s="99"/>
      <c r="AR115" s="96"/>
      <c r="AS115" s="96"/>
      <c r="AT115"/>
    </row>
    <row r="116" spans="6:46">
      <c r="F116" s="1">
        <v>183</v>
      </c>
      <c r="G116" s="1">
        <f>P43</f>
        <v>213.5</v>
      </c>
      <c r="H116" s="214" t="s">
        <v>4242</v>
      </c>
      <c r="I116" s="214">
        <v>108344</v>
      </c>
      <c r="J116" s="1">
        <f t="shared" ref="J116:J117" si="31">I116*G116</f>
        <v>23131444</v>
      </c>
      <c r="K116" s="5" t="s">
        <v>4536</v>
      </c>
      <c r="L116" s="169">
        <v>1100000</v>
      </c>
      <c r="M116" s="169">
        <v>5623000</v>
      </c>
      <c r="N116" s="168">
        <f t="shared" si="29"/>
        <v>411.18181818181819</v>
      </c>
      <c r="Q116" s="117">
        <v>153812</v>
      </c>
      <c r="R116" s="19" t="s">
        <v>4805</v>
      </c>
      <c r="S116" s="19">
        <f>S115-6</f>
        <v>91</v>
      </c>
      <c r="T116" s="19" t="s">
        <v>4806</v>
      </c>
      <c r="U116" s="214">
        <v>537.20000000000005</v>
      </c>
      <c r="V116" s="99">
        <f t="shared" si="30"/>
        <v>582.86641534246587</v>
      </c>
      <c r="W116" s="32">
        <f t="shared" si="27"/>
        <v>594.52374364931518</v>
      </c>
      <c r="X116" s="32">
        <f t="shared" si="28"/>
        <v>606.18107195616449</v>
      </c>
      <c r="Y116">
        <v>23000</v>
      </c>
      <c r="AH116" s="99">
        <v>96</v>
      </c>
      <c r="AI116" s="113" t="s">
        <v>4600</v>
      </c>
      <c r="AJ116" s="113">
        <v>4000000</v>
      </c>
      <c r="AK116" s="99">
        <v>1</v>
      </c>
      <c r="AL116" s="99">
        <f t="shared" si="25"/>
        <v>139</v>
      </c>
      <c r="AM116" s="117">
        <f t="shared" si="11"/>
        <v>556000000</v>
      </c>
      <c r="AN116" s="99"/>
    </row>
    <row r="117" spans="6:46">
      <c r="F117" s="1">
        <v>4485.1000000000004</v>
      </c>
      <c r="G117" s="1">
        <v>5190</v>
      </c>
      <c r="H117" s="214" t="s">
        <v>4536</v>
      </c>
      <c r="I117" s="214">
        <v>3</v>
      </c>
      <c r="J117" s="1">
        <f t="shared" si="31"/>
        <v>15570</v>
      </c>
      <c r="K117" s="19" t="s">
        <v>4393</v>
      </c>
      <c r="L117" s="169">
        <v>1100000</v>
      </c>
      <c r="M117" s="169">
        <v>7728000</v>
      </c>
      <c r="N117" s="168">
        <f t="shared" si="29"/>
        <v>602.5454545454545</v>
      </c>
      <c r="Q117" s="117">
        <v>10926171</v>
      </c>
      <c r="R117" s="19" t="s">
        <v>4834</v>
      </c>
      <c r="S117" s="19">
        <f>S116-6</f>
        <v>85</v>
      </c>
      <c r="T117" s="19" t="s">
        <v>4836</v>
      </c>
      <c r="U117" s="214">
        <v>5355.4</v>
      </c>
      <c r="V117" s="99">
        <f t="shared" si="30"/>
        <v>5786.003504657534</v>
      </c>
      <c r="W117" s="32">
        <f t="shared" si="27"/>
        <v>5901.7235747506847</v>
      </c>
      <c r="X117" s="32">
        <f t="shared" si="28"/>
        <v>6017.4436448438355</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1">
        <f>SUM(J114:J117)</f>
        <v>33643014</v>
      </c>
      <c r="K118" s="5" t="s">
        <v>4538</v>
      </c>
      <c r="L118" s="169">
        <v>1100000</v>
      </c>
      <c r="M118" s="169">
        <v>2904000</v>
      </c>
      <c r="N118" s="168">
        <f t="shared" si="29"/>
        <v>164</v>
      </c>
      <c r="Q118" s="169">
        <v>26970108</v>
      </c>
      <c r="R118" s="214" t="s">
        <v>4899</v>
      </c>
      <c r="S118" s="214">
        <f>S117-28</f>
        <v>57</v>
      </c>
      <c r="T118" s="214" t="s">
        <v>4906</v>
      </c>
      <c r="U118" s="214">
        <v>6110.2</v>
      </c>
      <c r="V118" s="99">
        <f t="shared" si="30"/>
        <v>6470.2498126027394</v>
      </c>
      <c r="W118" s="32">
        <f t="shared" si="27"/>
        <v>6599.6548088547943</v>
      </c>
      <c r="X118" s="32">
        <f t="shared" si="28"/>
        <v>6729.0598051068491</v>
      </c>
      <c r="AH118" s="99">
        <v>98</v>
      </c>
      <c r="AI118" s="113" t="s">
        <v>4605</v>
      </c>
      <c r="AJ118" s="113">
        <v>13900000</v>
      </c>
      <c r="AK118" s="99">
        <v>2</v>
      </c>
      <c r="AL118" s="99">
        <f t="shared" si="25"/>
        <v>138</v>
      </c>
      <c r="AM118" s="117">
        <f t="shared" si="11"/>
        <v>1918200000</v>
      </c>
      <c r="AN118" s="99"/>
    </row>
    <row r="119" spans="6:46">
      <c r="F119" s="214"/>
      <c r="G119" s="214"/>
      <c r="H119" s="214"/>
      <c r="I119" s="214"/>
      <c r="J119" s="214" t="s">
        <v>6</v>
      </c>
      <c r="K119" s="56" t="s">
        <v>1086</v>
      </c>
      <c r="L119" s="169">
        <v>1100000</v>
      </c>
      <c r="M119" s="169">
        <v>3400000</v>
      </c>
      <c r="N119" s="168">
        <f t="shared" si="29"/>
        <v>209.09090909090909</v>
      </c>
      <c r="P119" s="114"/>
      <c r="Q119" s="169">
        <v>6150141</v>
      </c>
      <c r="R119" s="214" t="s">
        <v>4899</v>
      </c>
      <c r="S119" s="214">
        <f>S118</f>
        <v>57</v>
      </c>
      <c r="T119" s="214" t="s">
        <v>4907</v>
      </c>
      <c r="U119" s="214">
        <v>180.6</v>
      </c>
      <c r="V119" s="99">
        <f t="shared" si="30"/>
        <v>191.24204054794521</v>
      </c>
      <c r="W119" s="32">
        <f t="shared" si="27"/>
        <v>195.06688135890411</v>
      </c>
      <c r="X119" s="32">
        <f t="shared" si="28"/>
        <v>198.89172216986302</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4567</v>
      </c>
      <c r="Q120" s="169">
        <v>162112</v>
      </c>
      <c r="R120" s="214" t="s">
        <v>4921</v>
      </c>
      <c r="S120" s="214">
        <f>S119-7</f>
        <v>50</v>
      </c>
      <c r="T120" s="214" t="s">
        <v>4923</v>
      </c>
      <c r="U120" s="214">
        <v>632.79999999999995</v>
      </c>
      <c r="V120" s="99">
        <f t="shared" si="30"/>
        <v>666.69034082191786</v>
      </c>
      <c r="W120" s="32">
        <f t="shared" si="27"/>
        <v>680.02414763835623</v>
      </c>
      <c r="X120" s="32">
        <f t="shared" si="28"/>
        <v>693.35795445479459</v>
      </c>
      <c r="AH120" s="99">
        <v>100</v>
      </c>
      <c r="AI120" s="113" t="s">
        <v>3691</v>
      </c>
      <c r="AJ120" s="113">
        <v>15792549</v>
      </c>
      <c r="AK120" s="99">
        <v>3</v>
      </c>
      <c r="AL120" s="99">
        <f t="shared" si="25"/>
        <v>135</v>
      </c>
      <c r="AM120" s="117">
        <f t="shared" si="11"/>
        <v>2131994115</v>
      </c>
      <c r="AN120" s="99"/>
      <c r="AO120" t="s">
        <v>25</v>
      </c>
      <c r="AP120" t="s">
        <v>25</v>
      </c>
    </row>
    <row r="121" spans="6:46">
      <c r="K121" s="244" t="s">
        <v>4568</v>
      </c>
      <c r="Q121" s="169">
        <v>1399908</v>
      </c>
      <c r="R121" s="214" t="s">
        <v>4976</v>
      </c>
      <c r="S121" s="214">
        <f>S120-13</f>
        <v>37</v>
      </c>
      <c r="T121" s="214" t="s">
        <v>4977</v>
      </c>
      <c r="U121" s="214">
        <v>194</v>
      </c>
      <c r="V121" s="99">
        <f t="shared" si="30"/>
        <v>202.45521095890416</v>
      </c>
      <c r="W121" s="32">
        <f t="shared" si="27"/>
        <v>206.50431517808224</v>
      </c>
      <c r="X121" s="32">
        <f t="shared" si="28"/>
        <v>210.55341939726034</v>
      </c>
      <c r="AH121" s="99">
        <v>101</v>
      </c>
      <c r="AI121" s="113" t="s">
        <v>4619</v>
      </c>
      <c r="AJ121" s="113">
        <v>8800000</v>
      </c>
      <c r="AK121" s="99">
        <v>0</v>
      </c>
      <c r="AL121" s="99">
        <f t="shared" ref="AL121:AL125" si="32">AL122+AK121</f>
        <v>132</v>
      </c>
      <c r="AM121" s="117">
        <f t="shared" ref="AM121:AM144" si="33">AJ121*AL121</f>
        <v>1161600000</v>
      </c>
      <c r="AN121" s="99"/>
      <c r="AP121" t="s">
        <v>25</v>
      </c>
    </row>
    <row r="122" spans="6:46" ht="45">
      <c r="K122" s="244" t="s">
        <v>4569</v>
      </c>
      <c r="Q122" s="169">
        <v>1204033</v>
      </c>
      <c r="R122" s="214" t="s">
        <v>4986</v>
      </c>
      <c r="S122" s="214">
        <f>S121-7</f>
        <v>30</v>
      </c>
      <c r="T122" s="214" t="s">
        <v>4989</v>
      </c>
      <c r="U122" s="214">
        <v>218.5</v>
      </c>
      <c r="V122" s="99">
        <f t="shared" si="30"/>
        <v>226.84969315068497</v>
      </c>
      <c r="W122" s="32">
        <f t="shared" si="27"/>
        <v>231.38668701369866</v>
      </c>
      <c r="X122" s="32">
        <f t="shared" si="28"/>
        <v>235.92368087671238</v>
      </c>
      <c r="Y122" t="s">
        <v>25</v>
      </c>
      <c r="AH122" s="121">
        <v>102</v>
      </c>
      <c r="AI122" s="79" t="s">
        <v>4619</v>
      </c>
      <c r="AJ122" s="79">
        <v>13071612</v>
      </c>
      <c r="AK122" s="121">
        <v>1</v>
      </c>
      <c r="AL122" s="121">
        <f t="shared" si="32"/>
        <v>132</v>
      </c>
      <c r="AM122" s="79">
        <f t="shared" si="33"/>
        <v>1725452784</v>
      </c>
      <c r="AN122" s="206" t="s">
        <v>4620</v>
      </c>
    </row>
    <row r="123" spans="6:46">
      <c r="Q123" s="169">
        <v>8382674</v>
      </c>
      <c r="R123" s="214" t="s">
        <v>4997</v>
      </c>
      <c r="S123" s="214">
        <f>S122-7</f>
        <v>23</v>
      </c>
      <c r="T123" s="214" t="s">
        <v>5003</v>
      </c>
      <c r="U123" s="214">
        <v>192</v>
      </c>
      <c r="V123" s="99">
        <f t="shared" si="30"/>
        <v>198.30601643835618</v>
      </c>
      <c r="W123" s="32">
        <f t="shared" si="27"/>
        <v>202.2721367671233</v>
      </c>
      <c r="X123" s="32">
        <f t="shared" si="28"/>
        <v>206.23825709589045</v>
      </c>
      <c r="Y123" t="s">
        <v>25</v>
      </c>
      <c r="AH123" s="89">
        <v>103</v>
      </c>
      <c r="AI123" s="90" t="s">
        <v>4623</v>
      </c>
      <c r="AJ123" s="90">
        <v>16727037</v>
      </c>
      <c r="AK123" s="89">
        <v>0</v>
      </c>
      <c r="AL123" s="89">
        <f t="shared" si="32"/>
        <v>131</v>
      </c>
      <c r="AM123" s="90">
        <f t="shared" si="33"/>
        <v>2191241847</v>
      </c>
      <c r="AN123" s="89" t="s">
        <v>4631</v>
      </c>
    </row>
    <row r="124" spans="6:46">
      <c r="J124" t="s">
        <v>25</v>
      </c>
      <c r="Q124" s="169">
        <v>190884649</v>
      </c>
      <c r="R124" s="214" t="s">
        <v>5022</v>
      </c>
      <c r="S124" s="214">
        <f>S123-9</f>
        <v>14</v>
      </c>
      <c r="T124" s="214" t="s">
        <v>5025</v>
      </c>
      <c r="U124" s="214">
        <v>193.6</v>
      </c>
      <c r="V124" s="99">
        <f t="shared" si="30"/>
        <v>198.62193095890413</v>
      </c>
      <c r="W124" s="32">
        <f t="shared" si="27"/>
        <v>202.59436957808222</v>
      </c>
      <c r="X124" s="32">
        <f t="shared" si="28"/>
        <v>206.56680819726031</v>
      </c>
      <c r="Y124" s="122" t="s">
        <v>25</v>
      </c>
      <c r="AH124" s="99">
        <v>104</v>
      </c>
      <c r="AI124" s="113" t="s">
        <v>4623</v>
      </c>
      <c r="AJ124" s="113">
        <v>12000000</v>
      </c>
      <c r="AK124" s="99">
        <v>1</v>
      </c>
      <c r="AL124" s="99">
        <f t="shared" si="32"/>
        <v>131</v>
      </c>
      <c r="AM124" s="117">
        <f t="shared" si="33"/>
        <v>1572000000</v>
      </c>
      <c r="AN124" s="99" t="s">
        <v>4632</v>
      </c>
    </row>
    <row r="125" spans="6:46">
      <c r="Q125" s="169">
        <v>2099962</v>
      </c>
      <c r="R125" s="214" t="s">
        <v>5024</v>
      </c>
      <c r="S125" s="214">
        <f>S124-1</f>
        <v>13</v>
      </c>
      <c r="T125" s="214" t="s">
        <v>5028</v>
      </c>
      <c r="U125" s="214">
        <v>196.5</v>
      </c>
      <c r="V125" s="99">
        <f t="shared" si="30"/>
        <v>201.44641643835618</v>
      </c>
      <c r="W125" s="32">
        <f t="shared" si="27"/>
        <v>205.47534476712332</v>
      </c>
      <c r="X125" s="32">
        <f t="shared" si="28"/>
        <v>209.50427309589043</v>
      </c>
      <c r="AH125" s="89">
        <v>105</v>
      </c>
      <c r="AI125" s="90" t="s">
        <v>4550</v>
      </c>
      <c r="AJ125" s="90">
        <v>88697667</v>
      </c>
      <c r="AK125" s="89">
        <v>1</v>
      </c>
      <c r="AL125" s="89">
        <f t="shared" si="32"/>
        <v>130</v>
      </c>
      <c r="AM125" s="90">
        <f t="shared" si="33"/>
        <v>11530696710</v>
      </c>
      <c r="AN125" s="89" t="s">
        <v>4633</v>
      </c>
      <c r="AP125" t="s">
        <v>25</v>
      </c>
    </row>
    <row r="126" spans="6:46">
      <c r="Q126" s="169">
        <v>130756</v>
      </c>
      <c r="R126" s="214" t="s">
        <v>5029</v>
      </c>
      <c r="S126" s="214">
        <f>S125-1</f>
        <v>12</v>
      </c>
      <c r="T126" s="214" t="s">
        <v>5030</v>
      </c>
      <c r="U126" s="214">
        <v>197.8</v>
      </c>
      <c r="V126" s="99">
        <f t="shared" si="30"/>
        <v>202.62740383561649</v>
      </c>
      <c r="W126" s="32">
        <f t="shared" si="27"/>
        <v>206.67995191232882</v>
      </c>
      <c r="X126" s="32">
        <f t="shared" si="28"/>
        <v>210.73249998904114</v>
      </c>
      <c r="Y126" t="s">
        <v>25</v>
      </c>
      <c r="AH126" s="99">
        <v>106</v>
      </c>
      <c r="AI126" s="113" t="s">
        <v>4553</v>
      </c>
      <c r="AJ126" s="113">
        <v>101000</v>
      </c>
      <c r="AK126" s="99">
        <v>0</v>
      </c>
      <c r="AL126" s="99">
        <f>AL127+AK126</f>
        <v>129</v>
      </c>
      <c r="AM126" s="117">
        <f t="shared" si="33"/>
        <v>13029000</v>
      </c>
      <c r="AN126" s="99"/>
      <c r="AQ126" t="s">
        <v>25</v>
      </c>
    </row>
    <row r="127" spans="6:46">
      <c r="Q127" s="169">
        <v>795874</v>
      </c>
      <c r="R127" s="214" t="s">
        <v>5043</v>
      </c>
      <c r="S127" s="214">
        <f>S126-6</f>
        <v>6</v>
      </c>
      <c r="T127" s="214" t="s">
        <v>5044</v>
      </c>
      <c r="U127" s="214">
        <v>198.1</v>
      </c>
      <c r="V127" s="99">
        <f t="shared" si="30"/>
        <v>202.02292273972603</v>
      </c>
      <c r="W127" s="32">
        <f t="shared" si="27"/>
        <v>206.06338119452056</v>
      </c>
      <c r="X127" s="32">
        <f t="shared" si="28"/>
        <v>210.10383964931506</v>
      </c>
      <c r="AH127" s="149">
        <v>107</v>
      </c>
      <c r="AI127" s="189" t="s">
        <v>4630</v>
      </c>
      <c r="AJ127" s="189">
        <v>-48200</v>
      </c>
      <c r="AK127" s="149">
        <v>0</v>
      </c>
      <c r="AL127" s="149">
        <f t="shared" ref="AL127:AL179" si="34">AL128+AK127</f>
        <v>129</v>
      </c>
      <c r="AM127" s="189">
        <f t="shared" si="33"/>
        <v>-6217800</v>
      </c>
      <c r="AN127" s="149" t="s">
        <v>4640</v>
      </c>
    </row>
    <row r="128" spans="6:46">
      <c r="M128">
        <v>236</v>
      </c>
      <c r="N128">
        <v>3</v>
      </c>
      <c r="O128">
        <f>M128*N128</f>
        <v>708</v>
      </c>
      <c r="Q128" s="169">
        <v>400348</v>
      </c>
      <c r="R128" s="214" t="s">
        <v>5046</v>
      </c>
      <c r="S128" s="214">
        <f>S127-1</f>
        <v>5</v>
      </c>
      <c r="T128" s="214" t="s">
        <v>5048</v>
      </c>
      <c r="U128" s="214">
        <v>199.3</v>
      </c>
      <c r="V128" s="99">
        <f t="shared" si="30"/>
        <v>203.09379835616443</v>
      </c>
      <c r="W128" s="32">
        <f t="shared" si="27"/>
        <v>207.15567432328771</v>
      </c>
      <c r="X128" s="32">
        <f t="shared" si="28"/>
        <v>211.217550290411</v>
      </c>
      <c r="AH128" s="89">
        <v>108</v>
      </c>
      <c r="AI128" s="90" t="s">
        <v>4630</v>
      </c>
      <c r="AJ128" s="90">
        <v>39327293</v>
      </c>
      <c r="AK128" s="89">
        <v>4</v>
      </c>
      <c r="AL128" s="149">
        <f t="shared" si="34"/>
        <v>129</v>
      </c>
      <c r="AM128" s="189">
        <f t="shared" si="33"/>
        <v>5073220797</v>
      </c>
      <c r="AN128" s="89" t="s">
        <v>4641</v>
      </c>
    </row>
    <row r="129" spans="6:43">
      <c r="M129">
        <v>126</v>
      </c>
      <c r="N129">
        <v>1</v>
      </c>
      <c r="O129">
        <f>M129*N129</f>
        <v>126</v>
      </c>
      <c r="Q129" s="169">
        <v>5896463</v>
      </c>
      <c r="R129" s="214" t="s">
        <v>5058</v>
      </c>
      <c r="S129" s="214">
        <f>S128-4</f>
        <v>1</v>
      </c>
      <c r="T129" s="214" t="s">
        <v>5059</v>
      </c>
      <c r="U129" s="214">
        <v>197.4</v>
      </c>
      <c r="V129" s="99">
        <f t="shared" si="30"/>
        <v>200.55191013698632</v>
      </c>
      <c r="W129" s="32">
        <f t="shared" si="27"/>
        <v>204.56294833972606</v>
      </c>
      <c r="X129" s="32">
        <f t="shared" si="28"/>
        <v>208.57398654246578</v>
      </c>
      <c r="Y129" t="s">
        <v>25</v>
      </c>
      <c r="AH129" s="89">
        <v>109</v>
      </c>
      <c r="AI129" s="90" t="s">
        <v>4656</v>
      </c>
      <c r="AJ129" s="90">
        <v>8749050</v>
      </c>
      <c r="AK129" s="89">
        <v>1</v>
      </c>
      <c r="AL129" s="89">
        <f t="shared" si="34"/>
        <v>125</v>
      </c>
      <c r="AM129" s="90">
        <f t="shared" si="33"/>
        <v>1093631250</v>
      </c>
      <c r="AN129" s="89" t="s">
        <v>4659</v>
      </c>
    </row>
    <row r="130" spans="6:43">
      <c r="L130">
        <v>821</v>
      </c>
      <c r="M130">
        <v>590</v>
      </c>
      <c r="N130">
        <v>0</v>
      </c>
      <c r="O130" s="96">
        <f>M130*N130</f>
        <v>0</v>
      </c>
      <c r="Q130" s="169">
        <v>1499873</v>
      </c>
      <c r="R130" s="214" t="s">
        <v>5074</v>
      </c>
      <c r="S130" s="214">
        <f>S129-8</f>
        <v>-7</v>
      </c>
      <c r="T130" s="214" t="s">
        <v>5078</v>
      </c>
      <c r="U130" s="214">
        <v>200.1</v>
      </c>
      <c r="V130" s="99">
        <f t="shared" si="30"/>
        <v>202.06701041095891</v>
      </c>
      <c r="W130" s="32">
        <f t="shared" si="27"/>
        <v>206.10835061917808</v>
      </c>
      <c r="X130" s="32">
        <f t="shared" si="28"/>
        <v>210.14969082739728</v>
      </c>
      <c r="Z130" t="s">
        <v>25</v>
      </c>
      <c r="AH130" s="99">
        <v>110</v>
      </c>
      <c r="AI130" s="113" t="s">
        <v>4661</v>
      </c>
      <c r="AJ130" s="113">
        <v>60000</v>
      </c>
      <c r="AK130" s="99">
        <v>1</v>
      </c>
      <c r="AL130" s="99">
        <f t="shared" si="34"/>
        <v>124</v>
      </c>
      <c r="AM130" s="117">
        <f t="shared" si="33"/>
        <v>7440000</v>
      </c>
      <c r="AN130" s="99" t="s">
        <v>4662</v>
      </c>
    </row>
    <row r="131" spans="6:43">
      <c r="Q131" s="169"/>
      <c r="R131" s="168"/>
      <c r="S131" s="168"/>
      <c r="T131" s="168"/>
      <c r="U131" s="168"/>
      <c r="V131" s="99">
        <f t="shared" si="30"/>
        <v>0</v>
      </c>
      <c r="W131" s="32">
        <f t="shared" si="27"/>
        <v>0</v>
      </c>
      <c r="X131" s="32">
        <f t="shared" si="28"/>
        <v>0</v>
      </c>
      <c r="Y131" t="s">
        <v>25</v>
      </c>
      <c r="AH131" s="20">
        <v>111</v>
      </c>
      <c r="AI131" s="117" t="s">
        <v>4671</v>
      </c>
      <c r="AJ131" s="117">
        <v>4750000</v>
      </c>
      <c r="AK131" s="20">
        <v>0</v>
      </c>
      <c r="AL131" s="99">
        <f t="shared" si="34"/>
        <v>123</v>
      </c>
      <c r="AM131" s="117">
        <f t="shared" si="33"/>
        <v>584250000</v>
      </c>
      <c r="AN131" s="20"/>
      <c r="AQ131" t="s">
        <v>25</v>
      </c>
    </row>
    <row r="132" spans="6:43">
      <c r="O132">
        <f>O128+O129+O130</f>
        <v>834</v>
      </c>
      <c r="Q132" s="113">
        <f>SUM(N40:N44)-SUM(Q83:Q131)</f>
        <v>59103695.5</v>
      </c>
      <c r="R132" s="112"/>
      <c r="S132" s="112"/>
      <c r="T132" s="112"/>
      <c r="U132" s="168"/>
      <c r="V132" s="99" t="s">
        <v>25</v>
      </c>
      <c r="W132" s="32"/>
      <c r="X132" s="32"/>
      <c r="AH132" s="89">
        <v>112</v>
      </c>
      <c r="AI132" s="90" t="s">
        <v>4671</v>
      </c>
      <c r="AJ132" s="90">
        <v>13101160</v>
      </c>
      <c r="AK132" s="89">
        <v>1</v>
      </c>
      <c r="AL132" s="89">
        <f t="shared" si="34"/>
        <v>123</v>
      </c>
      <c r="AM132" s="90">
        <f t="shared" si="33"/>
        <v>1611442680</v>
      </c>
      <c r="AN132" s="89" t="s">
        <v>4675</v>
      </c>
    </row>
    <row r="133" spans="6:43">
      <c r="Q133" s="26"/>
      <c r="R133" s="181"/>
      <c r="S133" s="181"/>
      <c r="T133" t="s">
        <v>25</v>
      </c>
      <c r="U133" s="96" t="s">
        <v>25</v>
      </c>
      <c r="V133" s="96" t="s">
        <v>25</v>
      </c>
      <c r="W133" s="96" t="s">
        <v>25</v>
      </c>
      <c r="AH133" s="20">
        <v>113</v>
      </c>
      <c r="AI133" s="117" t="s">
        <v>4674</v>
      </c>
      <c r="AJ133" s="117">
        <v>-980000</v>
      </c>
      <c r="AK133" s="20">
        <v>0</v>
      </c>
      <c r="AL133" s="99">
        <f t="shared" si="34"/>
        <v>122</v>
      </c>
      <c r="AM133" s="117">
        <f t="shared" si="33"/>
        <v>-119560000</v>
      </c>
      <c r="AN133" s="20"/>
    </row>
    <row r="134" spans="6:43">
      <c r="R134" s="32" t="s">
        <v>4571</v>
      </c>
      <c r="S134" s="32" t="s">
        <v>950</v>
      </c>
      <c r="T134" t="s">
        <v>25</v>
      </c>
      <c r="U134" s="96" t="s">
        <v>25</v>
      </c>
      <c r="V134" s="96" t="s">
        <v>25</v>
      </c>
      <c r="W134" s="96" t="s">
        <v>25</v>
      </c>
      <c r="X134" s="122" t="s">
        <v>25</v>
      </c>
      <c r="AH134" s="89">
        <v>114</v>
      </c>
      <c r="AI134" s="90" t="s">
        <v>4674</v>
      </c>
      <c r="AJ134" s="90">
        <v>13301790</v>
      </c>
      <c r="AK134" s="89">
        <v>0</v>
      </c>
      <c r="AL134" s="89">
        <f t="shared" si="34"/>
        <v>122</v>
      </c>
      <c r="AM134" s="90">
        <f t="shared" si="33"/>
        <v>1622818380</v>
      </c>
      <c r="AN134" s="89" t="s">
        <v>4675</v>
      </c>
      <c r="AQ134" t="s">
        <v>25</v>
      </c>
    </row>
    <row r="135" spans="6:43">
      <c r="R135" s="32">
        <v>1026179</v>
      </c>
      <c r="S135" s="235">
        <v>201504198</v>
      </c>
      <c r="U135" s="96" t="s">
        <v>25</v>
      </c>
      <c r="V135" s="122" t="s">
        <v>25</v>
      </c>
      <c r="W135" s="96" t="s">
        <v>25</v>
      </c>
      <c r="X135" t="s">
        <v>25</v>
      </c>
      <c r="AH135" s="20">
        <v>115</v>
      </c>
      <c r="AI135" s="117" t="s">
        <v>4674</v>
      </c>
      <c r="AJ135" s="117">
        <v>404000</v>
      </c>
      <c r="AK135" s="20">
        <v>5</v>
      </c>
      <c r="AL135" s="99">
        <f t="shared" si="34"/>
        <v>122</v>
      </c>
      <c r="AM135" s="117">
        <f t="shared" si="33"/>
        <v>49288000</v>
      </c>
      <c r="AN135" s="20" t="s">
        <v>4682</v>
      </c>
    </row>
    <row r="136" spans="6:43">
      <c r="Q136" t="s">
        <v>25</v>
      </c>
      <c r="R136" s="32">
        <v>14547</v>
      </c>
      <c r="S136" s="1">
        <f>S135*R136/R135</f>
        <v>2856501.2227944639</v>
      </c>
      <c r="U136" s="96" t="s">
        <v>25</v>
      </c>
      <c r="V136" s="122" t="s">
        <v>25</v>
      </c>
      <c r="W136" s="96" t="s">
        <v>25</v>
      </c>
      <c r="X136" t="s">
        <v>25</v>
      </c>
      <c r="AH136" s="89">
        <v>116</v>
      </c>
      <c r="AI136" s="90" t="s">
        <v>4698</v>
      </c>
      <c r="AJ136" s="90">
        <v>4291628</v>
      </c>
      <c r="AK136" s="89">
        <v>2</v>
      </c>
      <c r="AL136" s="89">
        <f t="shared" si="34"/>
        <v>117</v>
      </c>
      <c r="AM136" s="90">
        <f t="shared" si="33"/>
        <v>502120476</v>
      </c>
      <c r="AN136" s="89" t="s">
        <v>4700</v>
      </c>
    </row>
    <row r="137" spans="6:43">
      <c r="P137" s="114"/>
      <c r="R137" s="32">
        <f>R135-R136</f>
        <v>1011632</v>
      </c>
      <c r="S137" s="1">
        <f>R137*S135/R135</f>
        <v>198647696.77720553</v>
      </c>
      <c r="T137" t="s">
        <v>25</v>
      </c>
      <c r="U137" s="122" t="s">
        <v>25</v>
      </c>
      <c r="V137" s="96"/>
      <c r="W137"/>
      <c r="X137" t="s">
        <v>25</v>
      </c>
      <c r="Z137" t="s">
        <v>25</v>
      </c>
      <c r="AH137" s="20">
        <v>117</v>
      </c>
      <c r="AI137" s="117" t="s">
        <v>4702</v>
      </c>
      <c r="AJ137" s="117">
        <v>1000</v>
      </c>
      <c r="AK137" s="20">
        <v>5</v>
      </c>
      <c r="AL137" s="20">
        <f t="shared" si="34"/>
        <v>115</v>
      </c>
      <c r="AM137" s="117">
        <f t="shared" si="33"/>
        <v>115000</v>
      </c>
      <c r="AN137" s="20"/>
    </row>
    <row r="138" spans="6:43">
      <c r="V138" s="96"/>
      <c r="W138"/>
      <c r="X138" t="s">
        <v>25</v>
      </c>
      <c r="Y138" t="s">
        <v>25</v>
      </c>
      <c r="AH138" s="121">
        <v>118</v>
      </c>
      <c r="AI138" s="79" t="s">
        <v>4710</v>
      </c>
      <c r="AJ138" s="79">
        <v>8739459</v>
      </c>
      <c r="AK138" s="121">
        <v>2</v>
      </c>
      <c r="AL138" s="121">
        <f t="shared" si="34"/>
        <v>110</v>
      </c>
      <c r="AM138" s="79">
        <f t="shared" si="33"/>
        <v>961340490</v>
      </c>
      <c r="AN138" s="121" t="s">
        <v>4659</v>
      </c>
    </row>
    <row r="139" spans="6:43">
      <c r="Q139" s="99" t="s">
        <v>4461</v>
      </c>
      <c r="R139" s="99" t="s">
        <v>4463</v>
      </c>
      <c r="S139" s="99"/>
      <c r="T139" s="99" t="s">
        <v>4464</v>
      </c>
      <c r="U139" s="99"/>
      <c r="V139" s="99"/>
      <c r="W139" s="99" t="s">
        <v>4574</v>
      </c>
      <c r="AH139" s="121">
        <v>119</v>
      </c>
      <c r="AI139" s="79" t="s">
        <v>4711</v>
      </c>
      <c r="AJ139" s="79">
        <v>17595278</v>
      </c>
      <c r="AK139" s="121">
        <v>1</v>
      </c>
      <c r="AL139" s="121">
        <f t="shared" si="34"/>
        <v>108</v>
      </c>
      <c r="AM139" s="79">
        <f t="shared" si="33"/>
        <v>1900290024</v>
      </c>
      <c r="AN139" s="121" t="s">
        <v>4713</v>
      </c>
      <c r="AQ139" t="s">
        <v>25</v>
      </c>
    </row>
    <row r="140" spans="6:43">
      <c r="F140" t="s">
        <v>4840</v>
      </c>
      <c r="G140">
        <v>1200</v>
      </c>
      <c r="H140" t="s">
        <v>4841</v>
      </c>
      <c r="Q140" s="113">
        <v>1000</v>
      </c>
      <c r="R140" s="99">
        <v>0.25</v>
      </c>
      <c r="S140" s="99"/>
      <c r="T140" s="99">
        <f>1-R140</f>
        <v>0.75</v>
      </c>
      <c r="U140" s="99"/>
      <c r="V140" s="99"/>
      <c r="W140" s="99"/>
      <c r="AH140" s="121">
        <v>120</v>
      </c>
      <c r="AI140" s="79" t="s">
        <v>4712</v>
      </c>
      <c r="AJ140" s="79">
        <v>13335309</v>
      </c>
      <c r="AK140" s="121">
        <v>13</v>
      </c>
      <c r="AL140" s="121">
        <f t="shared" si="34"/>
        <v>107</v>
      </c>
      <c r="AM140" s="79">
        <f t="shared" si="33"/>
        <v>1426878063</v>
      </c>
      <c r="AN140" s="121" t="s">
        <v>4675</v>
      </c>
    </row>
    <row r="141" spans="6:43">
      <c r="G141">
        <v>1350</v>
      </c>
      <c r="H141" t="s">
        <v>4842</v>
      </c>
      <c r="Q141" s="168" t="s">
        <v>4448</v>
      </c>
      <c r="R141" s="168" t="s">
        <v>4466</v>
      </c>
      <c r="S141" s="168" t="s">
        <v>4468</v>
      </c>
      <c r="T141" s="168"/>
      <c r="U141" s="168" t="s">
        <v>4462</v>
      </c>
      <c r="V141" s="56" t="s">
        <v>4465</v>
      </c>
      <c r="W141" s="99"/>
      <c r="X141" s="115"/>
      <c r="Y141" t="s">
        <v>25</v>
      </c>
      <c r="AA141" t="s">
        <v>25</v>
      </c>
      <c r="AH141" s="161">
        <v>121</v>
      </c>
      <c r="AI141" s="229" t="s">
        <v>4768</v>
      </c>
      <c r="AJ141" s="229">
        <v>50000000</v>
      </c>
      <c r="AK141" s="161">
        <v>11</v>
      </c>
      <c r="AL141" s="161">
        <f t="shared" si="34"/>
        <v>94</v>
      </c>
      <c r="AM141" s="229">
        <f t="shared" si="33"/>
        <v>4700000000</v>
      </c>
      <c r="AN141" s="161" t="s">
        <v>4770</v>
      </c>
      <c r="AP141" t="s">
        <v>25</v>
      </c>
    </row>
    <row r="142" spans="6:43">
      <c r="G142">
        <v>1050</v>
      </c>
      <c r="H142" t="s">
        <v>4843</v>
      </c>
      <c r="P142">
        <f>R142+2611</f>
        <v>1742278</v>
      </c>
      <c r="Q142" s="168" t="s">
        <v>751</v>
      </c>
      <c r="R142" s="56">
        <v>1739667</v>
      </c>
      <c r="S142" s="113">
        <f>R142*$T$237</f>
        <v>595444468.53388941</v>
      </c>
      <c r="T142" s="168"/>
      <c r="U142" s="168">
        <f>$Q$140*$T$140*S142/$R$166</f>
        <v>351.9994156500569</v>
      </c>
      <c r="V142" s="95">
        <f>S142+U142</f>
        <v>595444820.53330505</v>
      </c>
      <c r="W142" s="99">
        <f>R142*100/U234</f>
        <v>46.93325542000759</v>
      </c>
      <c r="X142" s="218"/>
      <c r="Y142" t="s">
        <v>25</v>
      </c>
      <c r="AH142" s="20">
        <v>122</v>
      </c>
      <c r="AI142" s="117" t="s">
        <v>974</v>
      </c>
      <c r="AJ142" s="117">
        <v>30000</v>
      </c>
      <c r="AK142" s="20">
        <v>3</v>
      </c>
      <c r="AL142" s="20">
        <f t="shared" si="34"/>
        <v>83</v>
      </c>
      <c r="AM142" s="117">
        <f t="shared" si="33"/>
        <v>2490000</v>
      </c>
      <c r="AN142" s="20"/>
    </row>
    <row r="143" spans="6:43">
      <c r="Q143" s="168" t="s">
        <v>4450</v>
      </c>
      <c r="R143" s="56">
        <v>1716028</v>
      </c>
      <c r="S143" s="113">
        <f>R143*$T$237</f>
        <v>587353430.54117441</v>
      </c>
      <c r="T143" s="168"/>
      <c r="U143" s="214">
        <f>$Q$140*$T$140*S143/$R$166</f>
        <v>347.21636568328069</v>
      </c>
      <c r="V143" s="95">
        <f t="shared" ref="V143:V144" si="35">S143+U143</f>
        <v>587353777.75754011</v>
      </c>
      <c r="W143" s="99">
        <f>R143*100/U234</f>
        <v>46.295515424437426</v>
      </c>
      <c r="X143" s="115"/>
      <c r="Y143" t="s">
        <v>25</v>
      </c>
      <c r="AH143" s="20">
        <v>123</v>
      </c>
      <c r="AI143" s="117" t="s">
        <v>4837</v>
      </c>
      <c r="AJ143" s="117">
        <v>600000</v>
      </c>
      <c r="AK143" s="20">
        <v>1</v>
      </c>
      <c r="AL143" s="20">
        <f t="shared" si="34"/>
        <v>80</v>
      </c>
      <c r="AM143" s="117">
        <f t="shared" si="33"/>
        <v>48000000</v>
      </c>
      <c r="AN143" s="20"/>
    </row>
    <row r="144" spans="6:43">
      <c r="Q144" s="168" t="s">
        <v>4449</v>
      </c>
      <c r="R144" s="56">
        <v>53811</v>
      </c>
      <c r="S144" s="113">
        <f>R144*$T$237</f>
        <v>18418158.35805193</v>
      </c>
      <c r="T144" s="168"/>
      <c r="U144" s="214">
        <f>$Q$140*$T$140*S144/$R$166</f>
        <v>10.887969108769216</v>
      </c>
      <c r="V144" s="95">
        <f t="shared" si="35"/>
        <v>18418169.24602104</v>
      </c>
      <c r="W144" s="99">
        <f>R144*100/U234</f>
        <v>1.451729214502562</v>
      </c>
      <c r="X144" s="115"/>
      <c r="Y144" t="s">
        <v>25</v>
      </c>
      <c r="AH144" s="20">
        <v>124</v>
      </c>
      <c r="AI144" s="117" t="s">
        <v>4844</v>
      </c>
      <c r="AJ144" s="117">
        <v>30000</v>
      </c>
      <c r="AK144" s="20">
        <v>3</v>
      </c>
      <c r="AL144" s="20">
        <f t="shared" si="34"/>
        <v>79</v>
      </c>
      <c r="AM144" s="117">
        <f t="shared" si="33"/>
        <v>2370000</v>
      </c>
      <c r="AN144" s="20"/>
    </row>
    <row r="145" spans="15:44">
      <c r="Q145" s="168" t="s">
        <v>1087</v>
      </c>
      <c r="R145" s="56">
        <v>197177</v>
      </c>
      <c r="S145" s="113">
        <f>R145*$T$237</f>
        <v>67488751.56688419</v>
      </c>
      <c r="T145" s="168"/>
      <c r="U145" s="214">
        <f>$Q$140*$T$140*S145/$R$166</f>
        <v>39.896249557893128</v>
      </c>
      <c r="V145" s="95">
        <f>S145+U145</f>
        <v>67488791.463133752</v>
      </c>
      <c r="W145" s="99">
        <f>R145*100/U234</f>
        <v>5.3194999410524177</v>
      </c>
      <c r="X145" s="115"/>
      <c r="AH145" s="20">
        <v>125</v>
      </c>
      <c r="AI145" s="117" t="s">
        <v>4851</v>
      </c>
      <c r="AJ145" s="117">
        <v>2250000</v>
      </c>
      <c r="AK145" s="20">
        <v>1</v>
      </c>
      <c r="AL145" s="20">
        <f t="shared" si="34"/>
        <v>76</v>
      </c>
      <c r="AM145" s="117">
        <f t="shared" ref="AM145:AM147" si="36">AJ145*AL145</f>
        <v>171000000</v>
      </c>
      <c r="AN145" s="20"/>
      <c r="AR145" t="s">
        <v>25</v>
      </c>
    </row>
    <row r="146" spans="15:44">
      <c r="Q146" s="168"/>
      <c r="R146" s="56"/>
      <c r="S146" s="168"/>
      <c r="T146" s="168"/>
      <c r="U146" s="168"/>
      <c r="V146" s="168"/>
      <c r="W146" s="99"/>
      <c r="X146" s="96"/>
      <c r="AH146" s="23">
        <v>126</v>
      </c>
      <c r="AI146" s="35" t="s">
        <v>4856</v>
      </c>
      <c r="AJ146" s="35">
        <v>-31412200</v>
      </c>
      <c r="AK146" s="23">
        <v>1</v>
      </c>
      <c r="AL146" s="20">
        <f t="shared" si="34"/>
        <v>75</v>
      </c>
      <c r="AM146" s="35">
        <f t="shared" si="36"/>
        <v>-2355915000</v>
      </c>
      <c r="AN146" s="23" t="s">
        <v>4839</v>
      </c>
    </row>
    <row r="147" spans="15:44">
      <c r="Q147" s="168"/>
      <c r="R147" s="168"/>
      <c r="S147" s="168"/>
      <c r="T147" s="168"/>
      <c r="U147" s="168"/>
      <c r="V147" s="168"/>
      <c r="W147" s="99"/>
      <c r="X147" s="96"/>
      <c r="Z147" s="96"/>
      <c r="AH147" s="20">
        <v>127</v>
      </c>
      <c r="AI147" s="117" t="s">
        <v>4865</v>
      </c>
      <c r="AJ147" s="117">
        <v>70000</v>
      </c>
      <c r="AK147" s="20">
        <v>9</v>
      </c>
      <c r="AL147" s="20">
        <f t="shared" si="34"/>
        <v>74</v>
      </c>
      <c r="AM147" s="117">
        <f t="shared" si="36"/>
        <v>5180000</v>
      </c>
      <c r="AN147" s="20"/>
    </row>
    <row r="148" spans="15:44">
      <c r="Q148" s="99"/>
      <c r="R148" s="99"/>
      <c r="S148" s="99"/>
      <c r="T148" s="99" t="s">
        <v>25</v>
      </c>
      <c r="U148" s="99"/>
      <c r="V148" s="99"/>
      <c r="W148" s="99"/>
      <c r="X148" s="96"/>
      <c r="Z148" s="96"/>
      <c r="AH148" s="99">
        <v>128</v>
      </c>
      <c r="AI148" s="113" t="s">
        <v>4874</v>
      </c>
      <c r="AJ148" s="113">
        <v>20000</v>
      </c>
      <c r="AK148" s="99">
        <v>10</v>
      </c>
      <c r="AL148" s="20">
        <f t="shared" si="34"/>
        <v>65</v>
      </c>
      <c r="AM148" s="117">
        <f t="shared" ref="AM148:AM149" si="37">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4"/>
        <v>55</v>
      </c>
      <c r="AM149" s="117">
        <f t="shared" si="37"/>
        <v>55000000</v>
      </c>
      <c r="AN149" s="20"/>
    </row>
    <row r="150" spans="15:44">
      <c r="P150" s="114"/>
      <c r="Q150" s="99"/>
      <c r="R150" s="99"/>
      <c r="S150" s="99"/>
      <c r="T150" s="99"/>
      <c r="U150" s="99"/>
      <c r="V150" s="99"/>
      <c r="W150" s="99"/>
      <c r="X150" s="96"/>
      <c r="Z150" s="96"/>
      <c r="AA150" s="114"/>
      <c r="AC150" s="114"/>
      <c r="AD150" s="114"/>
      <c r="AH150" s="99">
        <v>130</v>
      </c>
      <c r="AI150" s="113" t="s">
        <v>4899</v>
      </c>
      <c r="AJ150" s="113">
        <v>65630227</v>
      </c>
      <c r="AK150" s="99">
        <v>0</v>
      </c>
      <c r="AL150" s="20">
        <f t="shared" si="34"/>
        <v>54</v>
      </c>
      <c r="AM150" s="117">
        <f t="shared" ref="AM150:AM179" si="38">AJ150*AL150</f>
        <v>3544032258</v>
      </c>
      <c r="AN150" s="20" t="s">
        <v>4903</v>
      </c>
      <c r="AP150" t="s">
        <v>25</v>
      </c>
      <c r="AR150" t="s">
        <v>25</v>
      </c>
    </row>
    <row r="151" spans="15:44">
      <c r="P151" s="114"/>
      <c r="Q151" s="96"/>
      <c r="R151" s="96"/>
      <c r="S151" s="96"/>
      <c r="T151" s="96"/>
      <c r="V151" s="96"/>
      <c r="X151" s="115"/>
      <c r="Z151" s="96"/>
      <c r="AA151" s="114"/>
      <c r="AC151" s="114"/>
      <c r="AH151" s="99">
        <v>131</v>
      </c>
      <c r="AI151" s="113" t="s">
        <v>4899</v>
      </c>
      <c r="AJ151" s="113">
        <v>-3500000</v>
      </c>
      <c r="AK151" s="99">
        <v>6</v>
      </c>
      <c r="AL151" s="20">
        <f t="shared" si="34"/>
        <v>54</v>
      </c>
      <c r="AM151" s="117">
        <f t="shared" si="38"/>
        <v>-189000000</v>
      </c>
      <c r="AN151" s="20" t="s">
        <v>4902</v>
      </c>
    </row>
    <row r="152" spans="15:44">
      <c r="P152" s="114"/>
      <c r="Q152" s="99" t="s">
        <v>5099</v>
      </c>
      <c r="R152" s="95">
        <f>S142-R157</f>
        <v>150913306.53388941</v>
      </c>
      <c r="S152" s="96"/>
      <c r="T152" s="96"/>
      <c r="V152" s="96"/>
      <c r="Z152" s="96"/>
      <c r="AA152" s="114"/>
      <c r="AC152" s="114"/>
      <c r="AD152" s="114"/>
      <c r="AH152" s="99">
        <v>132</v>
      </c>
      <c r="AI152" s="113" t="s">
        <v>4916</v>
      </c>
      <c r="AJ152" s="113">
        <v>2520000</v>
      </c>
      <c r="AK152" s="99">
        <v>12</v>
      </c>
      <c r="AL152" s="20">
        <f t="shared" si="34"/>
        <v>48</v>
      </c>
      <c r="AM152" s="117">
        <f t="shared" si="38"/>
        <v>120960000</v>
      </c>
      <c r="AN152" s="20"/>
    </row>
    <row r="153" spans="15:44">
      <c r="Q153" s="99" t="s">
        <v>5100</v>
      </c>
      <c r="R153" s="95">
        <f>S145+S144-R158</f>
        <v>13598493.424936116</v>
      </c>
      <c r="S153" s="96"/>
      <c r="T153" s="96" t="s">
        <v>25</v>
      </c>
      <c r="V153" s="96"/>
      <c r="Y153" s="96"/>
      <c r="Z153" s="96"/>
      <c r="AH153" s="99">
        <v>133</v>
      </c>
      <c r="AI153" s="113" t="s">
        <v>4953</v>
      </c>
      <c r="AJ153" s="113">
        <v>1400000</v>
      </c>
      <c r="AK153" s="99">
        <v>4</v>
      </c>
      <c r="AL153" s="20">
        <f t="shared" si="34"/>
        <v>36</v>
      </c>
      <c r="AM153" s="117">
        <f t="shared" si="38"/>
        <v>50400000</v>
      </c>
      <c r="AN153" s="20"/>
    </row>
    <row r="154" spans="15:44">
      <c r="Q154" s="96"/>
      <c r="R154" s="96"/>
      <c r="S154" s="96"/>
      <c r="T154" s="96"/>
      <c r="V154" s="96"/>
      <c r="Y154" s="96"/>
      <c r="Z154" s="96"/>
      <c r="AH154" s="99">
        <v>134</v>
      </c>
      <c r="AI154" s="113" t="s">
        <v>4980</v>
      </c>
      <c r="AJ154" s="113">
        <v>1550000</v>
      </c>
      <c r="AK154" s="99">
        <v>2</v>
      </c>
      <c r="AL154" s="20">
        <f t="shared" si="34"/>
        <v>32</v>
      </c>
      <c r="AM154" s="117">
        <f t="shared" si="38"/>
        <v>49600000</v>
      </c>
      <c r="AN154" s="20"/>
    </row>
    <row r="155" spans="15:44">
      <c r="Q155" s="96"/>
      <c r="R155" s="96"/>
      <c r="S155" s="96"/>
      <c r="T155" s="99" t="s">
        <v>180</v>
      </c>
      <c r="U155" s="99" t="s">
        <v>4484</v>
      </c>
      <c r="V155" s="99" t="s">
        <v>4485</v>
      </c>
      <c r="W155" s="99" t="s">
        <v>4495</v>
      </c>
      <c r="X155" s="99" t="s">
        <v>8</v>
      </c>
      <c r="Y155" s="96"/>
      <c r="Z155" s="96"/>
      <c r="AH155" s="99">
        <v>135</v>
      </c>
      <c r="AI155" s="113" t="s">
        <v>4925</v>
      </c>
      <c r="AJ155" s="113">
        <v>250000</v>
      </c>
      <c r="AK155" s="99">
        <v>6</v>
      </c>
      <c r="AL155" s="20">
        <f t="shared" si="34"/>
        <v>30</v>
      </c>
      <c r="AM155" s="117">
        <f t="shared" si="38"/>
        <v>7500000</v>
      </c>
      <c r="AN155" s="20"/>
    </row>
    <row r="156" spans="15:44">
      <c r="P156" s="114"/>
      <c r="Q156" s="36" t="s">
        <v>4570</v>
      </c>
      <c r="R156" s="95">
        <f>SUM(N40:N44)</f>
        <v>751664975.5</v>
      </c>
      <c r="T156" s="113" t="s">
        <v>4460</v>
      </c>
      <c r="U156" s="56">
        <v>1000000</v>
      </c>
      <c r="V156" s="113">
        <v>239.024</v>
      </c>
      <c r="W156" s="113">
        <f t="shared" ref="W156:W232" si="39">U156*V156</f>
        <v>239024000</v>
      </c>
      <c r="X156" s="99"/>
      <c r="Y156" s="96"/>
      <c r="Z156" s="96"/>
      <c r="AH156" s="99">
        <v>136</v>
      </c>
      <c r="AI156" s="113" t="s">
        <v>4990</v>
      </c>
      <c r="AJ156" s="113">
        <v>-48527480</v>
      </c>
      <c r="AK156" s="99">
        <v>14</v>
      </c>
      <c r="AL156" s="20">
        <f t="shared" si="34"/>
        <v>24</v>
      </c>
      <c r="AM156" s="117">
        <f t="shared" si="38"/>
        <v>-1164659520</v>
      </c>
      <c r="AN156" s="20" t="s">
        <v>4992</v>
      </c>
    </row>
    <row r="157" spans="15:44">
      <c r="Q157" s="99" t="s">
        <v>4451</v>
      </c>
      <c r="R157" s="95">
        <f>SUM(N21:N23)</f>
        <v>444531162</v>
      </c>
      <c r="T157" s="168" t="s">
        <v>4442</v>
      </c>
      <c r="U157" s="56">
        <v>5904</v>
      </c>
      <c r="V157" s="113">
        <v>237.148</v>
      </c>
      <c r="W157" s="113">
        <f t="shared" si="39"/>
        <v>1400121.7919999999</v>
      </c>
      <c r="X157" s="99" t="s">
        <v>751</v>
      </c>
      <c r="Y157" s="96"/>
      <c r="Z157" s="96"/>
      <c r="AH157" s="99">
        <v>137</v>
      </c>
      <c r="AI157" s="113" t="s">
        <v>5024</v>
      </c>
      <c r="AJ157" s="113">
        <v>2100000</v>
      </c>
      <c r="AK157" s="99">
        <v>1</v>
      </c>
      <c r="AL157" s="20">
        <f t="shared" si="34"/>
        <v>10</v>
      </c>
      <c r="AM157" s="117">
        <f t="shared" si="38"/>
        <v>21000000</v>
      </c>
      <c r="AN157" s="20"/>
    </row>
    <row r="158" spans="15:44">
      <c r="P158" s="114"/>
      <c r="Q158" s="99" t="s">
        <v>4452</v>
      </c>
      <c r="R158" s="95">
        <f>SUM(N26:N27)</f>
        <v>72308416.5</v>
      </c>
      <c r="T158" s="168" t="s">
        <v>4231</v>
      </c>
      <c r="U158" s="168">
        <v>1000</v>
      </c>
      <c r="V158" s="113">
        <v>247.393</v>
      </c>
      <c r="W158" s="113">
        <f t="shared" si="39"/>
        <v>247393</v>
      </c>
      <c r="X158" s="99" t="s">
        <v>751</v>
      </c>
      <c r="Y158" s="96"/>
      <c r="Z158" s="96"/>
      <c r="AH158" s="99">
        <v>138</v>
      </c>
      <c r="AI158" s="113" t="s">
        <v>5029</v>
      </c>
      <c r="AJ158" s="113">
        <v>100000</v>
      </c>
      <c r="AK158" s="99">
        <v>4</v>
      </c>
      <c r="AL158" s="20">
        <f>AL159+AK158</f>
        <v>9</v>
      </c>
      <c r="AM158" s="117">
        <f t="shared" si="38"/>
        <v>900000</v>
      </c>
      <c r="AN158" s="20"/>
      <c r="AQ158" t="s">
        <v>25</v>
      </c>
    </row>
    <row r="159" spans="15:44">
      <c r="O159" s="96"/>
      <c r="Q159" s="99" t="s">
        <v>4453</v>
      </c>
      <c r="R159" s="95">
        <f>N38</f>
        <v>58</v>
      </c>
      <c r="T159" s="168" t="s">
        <v>4496</v>
      </c>
      <c r="U159" s="168">
        <v>8071</v>
      </c>
      <c r="V159" s="113">
        <v>247.797</v>
      </c>
      <c r="W159" s="113">
        <f t="shared" si="39"/>
        <v>1999969.5870000001</v>
      </c>
      <c r="X159" s="99" t="s">
        <v>4449</v>
      </c>
      <c r="Y159" s="96"/>
      <c r="Z159" s="96"/>
      <c r="AH159" s="99">
        <v>139</v>
      </c>
      <c r="AI159" s="113" t="s">
        <v>5036</v>
      </c>
      <c r="AJ159" s="113">
        <v>900000</v>
      </c>
      <c r="AK159" s="99">
        <v>0</v>
      </c>
      <c r="AL159" s="20">
        <f t="shared" ref="AL159:AL168" si="40">AL160+AK159</f>
        <v>5</v>
      </c>
      <c r="AM159" s="117">
        <f t="shared" ref="AM159:AM168" si="41">AJ159*AL159</f>
        <v>4500000</v>
      </c>
      <c r="AN159" s="20"/>
      <c r="AP159" t="s">
        <v>25</v>
      </c>
    </row>
    <row r="160" spans="15:44">
      <c r="O160" s="96"/>
      <c r="Q160" s="99" t="s">
        <v>4454</v>
      </c>
      <c r="R160" s="95">
        <f>N20</f>
        <v>11</v>
      </c>
      <c r="T160" s="168" t="s">
        <v>4496</v>
      </c>
      <c r="U160" s="168">
        <v>53672</v>
      </c>
      <c r="V160" s="113">
        <v>247.797</v>
      </c>
      <c r="W160" s="113">
        <f t="shared" si="39"/>
        <v>13299760.584000001</v>
      </c>
      <c r="X160" s="99" t="s">
        <v>452</v>
      </c>
      <c r="Y160" s="96"/>
      <c r="AH160" s="99">
        <v>140</v>
      </c>
      <c r="AI160" s="113" t="s">
        <v>5036</v>
      </c>
      <c r="AJ160" s="113">
        <v>1100000</v>
      </c>
      <c r="AK160" s="99">
        <v>0</v>
      </c>
      <c r="AL160" s="20">
        <f t="shared" si="40"/>
        <v>5</v>
      </c>
      <c r="AM160" s="117">
        <f t="shared" si="41"/>
        <v>5500000</v>
      </c>
      <c r="AN160" s="20" t="s">
        <v>5056</v>
      </c>
      <c r="AQ160" t="s">
        <v>25</v>
      </c>
    </row>
    <row r="161" spans="17:43">
      <c r="Q161" s="99" t="s">
        <v>4455</v>
      </c>
      <c r="R161" s="95">
        <f>N25</f>
        <v>186</v>
      </c>
      <c r="T161" s="168" t="s">
        <v>4504</v>
      </c>
      <c r="U161" s="168">
        <v>4099</v>
      </c>
      <c r="V161" s="113">
        <v>243.93</v>
      </c>
      <c r="W161" s="113">
        <f t="shared" si="39"/>
        <v>999869.07000000007</v>
      </c>
      <c r="X161" s="99" t="s">
        <v>4449</v>
      </c>
      <c r="Y161" s="96"/>
      <c r="AH161" s="99">
        <v>141</v>
      </c>
      <c r="AI161" s="113" t="s">
        <v>5036</v>
      </c>
      <c r="AJ161" s="113">
        <v>115000</v>
      </c>
      <c r="AK161" s="99"/>
      <c r="AL161" s="20">
        <f t="shared" si="40"/>
        <v>5</v>
      </c>
      <c r="AM161" s="117">
        <f t="shared" si="41"/>
        <v>575000</v>
      </c>
      <c r="AN161" s="20"/>
      <c r="AQ161" t="s">
        <v>25</v>
      </c>
    </row>
    <row r="162" spans="17:43">
      <c r="Q162" s="99" t="s">
        <v>4467</v>
      </c>
      <c r="R162" s="95">
        <v>0</v>
      </c>
      <c r="T162" s="168" t="s">
        <v>4504</v>
      </c>
      <c r="U162" s="168">
        <v>9301</v>
      </c>
      <c r="V162" s="113">
        <v>243.93</v>
      </c>
      <c r="W162" s="113">
        <f t="shared" si="39"/>
        <v>2268792.9300000002</v>
      </c>
      <c r="X162" s="99" t="s">
        <v>452</v>
      </c>
      <c r="Y162" s="96"/>
      <c r="AH162" s="99">
        <v>142</v>
      </c>
      <c r="AI162" s="113" t="s">
        <v>5046</v>
      </c>
      <c r="AJ162" s="113">
        <v>-1100000</v>
      </c>
      <c r="AK162" s="99"/>
      <c r="AL162" s="20">
        <f t="shared" si="40"/>
        <v>5</v>
      </c>
      <c r="AM162" s="117">
        <f t="shared" si="41"/>
        <v>-5500000</v>
      </c>
      <c r="AN162" s="20" t="s">
        <v>5057</v>
      </c>
      <c r="AQ162" t="s">
        <v>25</v>
      </c>
    </row>
    <row r="163" spans="17:43">
      <c r="Q163" s="99" t="s">
        <v>4954</v>
      </c>
      <c r="R163" s="95">
        <v>0</v>
      </c>
      <c r="T163" s="168" t="s">
        <v>4510</v>
      </c>
      <c r="U163" s="168">
        <v>8334</v>
      </c>
      <c r="V163" s="113">
        <v>239.97</v>
      </c>
      <c r="W163" s="113">
        <f t="shared" si="39"/>
        <v>1999909.98</v>
      </c>
      <c r="X163" s="99" t="s">
        <v>4449</v>
      </c>
      <c r="Y163" s="96"/>
      <c r="AH163" s="99">
        <v>143</v>
      </c>
      <c r="AI163" s="113" t="s">
        <v>5046</v>
      </c>
      <c r="AJ163" s="113">
        <v>900000</v>
      </c>
      <c r="AK163" s="99">
        <v>1</v>
      </c>
      <c r="AL163" s="20">
        <f t="shared" si="40"/>
        <v>5</v>
      </c>
      <c r="AM163" s="117">
        <f t="shared" si="41"/>
        <v>4500000</v>
      </c>
      <c r="AN163" s="20" t="s">
        <v>5056</v>
      </c>
    </row>
    <row r="164" spans="17:43">
      <c r="Q164" s="99" t="s">
        <v>4872</v>
      </c>
      <c r="R164" s="95">
        <v>200000</v>
      </c>
      <c r="T164" s="168" t="s">
        <v>4230</v>
      </c>
      <c r="U164" s="168">
        <v>29041</v>
      </c>
      <c r="V164" s="113">
        <v>233.45</v>
      </c>
      <c r="W164" s="113">
        <f t="shared" si="39"/>
        <v>6779621.4499999993</v>
      </c>
      <c r="X164" s="99" t="s">
        <v>751</v>
      </c>
      <c r="Y164" s="96"/>
      <c r="AH164" s="99">
        <v>144</v>
      </c>
      <c r="AI164" s="113" t="s">
        <v>5054</v>
      </c>
      <c r="AJ164" s="113">
        <v>2000000</v>
      </c>
      <c r="AK164" s="99">
        <v>0</v>
      </c>
      <c r="AL164" s="20">
        <f t="shared" si="40"/>
        <v>4</v>
      </c>
      <c r="AM164" s="117">
        <f t="shared" si="41"/>
        <v>8000000</v>
      </c>
      <c r="AN164" s="20"/>
    </row>
    <row r="165" spans="17:43">
      <c r="Q165" s="99" t="s">
        <v>4993</v>
      </c>
      <c r="R165" s="95">
        <v>0</v>
      </c>
      <c r="S165" s="115"/>
      <c r="T165" s="168" t="s">
        <v>994</v>
      </c>
      <c r="U165" s="168">
        <v>12337</v>
      </c>
      <c r="V165" s="113">
        <v>243.16300000000001</v>
      </c>
      <c r="W165" s="113">
        <f t="shared" si="39"/>
        <v>2999901.9310000003</v>
      </c>
      <c r="X165" s="99" t="s">
        <v>4449</v>
      </c>
      <c r="Y165" s="96"/>
      <c r="AH165" s="99">
        <v>145</v>
      </c>
      <c r="AI165" s="113" t="s">
        <v>5054</v>
      </c>
      <c r="AJ165" s="113">
        <v>360000</v>
      </c>
      <c r="AK165" s="99">
        <v>1</v>
      </c>
      <c r="AL165" s="20">
        <f t="shared" si="40"/>
        <v>4</v>
      </c>
      <c r="AM165" s="117">
        <f t="shared" si="41"/>
        <v>1440000</v>
      </c>
      <c r="AN165" s="20"/>
    </row>
    <row r="166" spans="17:43">
      <c r="Q166" s="99" t="s">
        <v>4459</v>
      </c>
      <c r="R166" s="95">
        <f>SUM(R156:R165)</f>
        <v>1268704809</v>
      </c>
      <c r="S166" s="122"/>
      <c r="T166" s="168" t="s">
        <v>4591</v>
      </c>
      <c r="U166" s="168">
        <v>-16118</v>
      </c>
      <c r="V166" s="113">
        <v>248.17</v>
      </c>
      <c r="W166" s="113">
        <f t="shared" si="39"/>
        <v>-4000004.0599999996</v>
      </c>
      <c r="X166" s="99" t="s">
        <v>751</v>
      </c>
      <c r="Y166" t="s">
        <v>25</v>
      </c>
      <c r="AH166" s="99">
        <v>146</v>
      </c>
      <c r="AI166" s="113" t="s">
        <v>5055</v>
      </c>
      <c r="AJ166" s="113">
        <v>3000000</v>
      </c>
      <c r="AK166" s="99">
        <v>1</v>
      </c>
      <c r="AL166" s="20">
        <f t="shared" si="40"/>
        <v>3</v>
      </c>
      <c r="AM166" s="117">
        <f t="shared" si="41"/>
        <v>9000000</v>
      </c>
      <c r="AN166" s="20"/>
    </row>
    <row r="167" spans="17:43">
      <c r="Q167" s="96"/>
      <c r="S167" s="115"/>
      <c r="T167" s="168" t="s">
        <v>4619</v>
      </c>
      <c r="U167" s="168">
        <v>101681</v>
      </c>
      <c r="V167" s="113">
        <v>246.5711</v>
      </c>
      <c r="W167" s="113">
        <f t="shared" si="39"/>
        <v>25071596.019099999</v>
      </c>
      <c r="X167" s="99" t="s">
        <v>452</v>
      </c>
      <c r="AH167" s="99">
        <v>147</v>
      </c>
      <c r="AI167" s="113" t="s">
        <v>5051</v>
      </c>
      <c r="AJ167" s="113">
        <v>-658226</v>
      </c>
      <c r="AK167" s="99">
        <v>1</v>
      </c>
      <c r="AL167" s="20">
        <f t="shared" si="40"/>
        <v>2</v>
      </c>
      <c r="AM167" s="117">
        <f t="shared" si="41"/>
        <v>-1316452</v>
      </c>
      <c r="AN167" s="20"/>
    </row>
    <row r="168" spans="17:43">
      <c r="Q168" s="96"/>
      <c r="R168" s="182"/>
      <c r="S168" s="115"/>
      <c r="T168" s="168" t="s">
        <v>4623</v>
      </c>
      <c r="U168" s="168">
        <v>66606</v>
      </c>
      <c r="V168" s="113">
        <v>251.131</v>
      </c>
      <c r="W168" s="113">
        <f t="shared" si="39"/>
        <v>16726831.386</v>
      </c>
      <c r="X168" s="99" t="s">
        <v>751</v>
      </c>
      <c r="Y168" t="s">
        <v>25</v>
      </c>
      <c r="AH168" s="99">
        <v>148</v>
      </c>
      <c r="AI168" s="113" t="s">
        <v>5058</v>
      </c>
      <c r="AJ168" s="113">
        <v>1000000</v>
      </c>
      <c r="AK168" s="99">
        <v>1</v>
      </c>
      <c r="AL168" s="20">
        <f t="shared" si="40"/>
        <v>1</v>
      </c>
      <c r="AM168" s="117">
        <f t="shared" si="41"/>
        <v>1000000</v>
      </c>
      <c r="AN168" s="20"/>
      <c r="AP168" t="s">
        <v>25</v>
      </c>
    </row>
    <row r="169" spans="17:43">
      <c r="Q169" s="96"/>
      <c r="R169" s="182"/>
      <c r="T169" s="168" t="s">
        <v>4628</v>
      </c>
      <c r="U169" s="168">
        <v>172025</v>
      </c>
      <c r="V169" s="113">
        <v>245.52809999999999</v>
      </c>
      <c r="W169" s="113">
        <f t="shared" si="39"/>
        <v>42236971.402499996</v>
      </c>
      <c r="X169" s="99" t="s">
        <v>452</v>
      </c>
      <c r="AH169" s="99"/>
      <c r="AI169" s="113"/>
      <c r="AJ169" s="113"/>
      <c r="AK169" s="99"/>
      <c r="AL169" s="20">
        <f t="shared" si="34"/>
        <v>0</v>
      </c>
      <c r="AM169" s="117">
        <f t="shared" si="38"/>
        <v>0</v>
      </c>
      <c r="AN169" s="20"/>
    </row>
    <row r="170" spans="17:43">
      <c r="Q170" s="96"/>
      <c r="R170" s="115"/>
      <c r="T170" s="168" t="s">
        <v>4628</v>
      </c>
      <c r="U170" s="168">
        <v>189227</v>
      </c>
      <c r="V170" s="113">
        <v>245.52809999999999</v>
      </c>
      <c r="W170" s="113">
        <f t="shared" si="39"/>
        <v>46460545.778700002</v>
      </c>
      <c r="X170" s="99" t="s">
        <v>751</v>
      </c>
      <c r="Y170" t="s">
        <v>25</v>
      </c>
      <c r="AE170" s="96" t="s">
        <v>25</v>
      </c>
      <c r="AH170" s="99"/>
      <c r="AI170" s="113"/>
      <c r="AJ170" s="113"/>
      <c r="AK170" s="99"/>
      <c r="AL170" s="20">
        <f t="shared" si="34"/>
        <v>0</v>
      </c>
      <c r="AM170" s="117">
        <f t="shared" si="38"/>
        <v>0</v>
      </c>
      <c r="AN170" s="20"/>
    </row>
    <row r="171" spans="17:43">
      <c r="T171" s="168" t="s">
        <v>4630</v>
      </c>
      <c r="U171" s="168">
        <v>79720</v>
      </c>
      <c r="V171" s="113">
        <v>246.6568</v>
      </c>
      <c r="W171" s="113">
        <f t="shared" si="39"/>
        <v>19663480.096000001</v>
      </c>
      <c r="X171" s="99" t="s">
        <v>452</v>
      </c>
      <c r="AH171" s="99"/>
      <c r="AI171" s="113"/>
      <c r="AJ171" s="113"/>
      <c r="AK171" s="99"/>
      <c r="AL171" s="20">
        <f t="shared" si="34"/>
        <v>0</v>
      </c>
      <c r="AM171" s="117">
        <f t="shared" si="38"/>
        <v>0</v>
      </c>
      <c r="AN171" s="20"/>
    </row>
    <row r="172" spans="17:43">
      <c r="Q172" s="99" t="s">
        <v>8</v>
      </c>
      <c r="R172" s="99" t="s">
        <v>4449</v>
      </c>
      <c r="S172" s="99"/>
      <c r="T172" s="168" t="s">
        <v>4630</v>
      </c>
      <c r="U172" s="168">
        <v>79720</v>
      </c>
      <c r="V172" s="113">
        <v>246.6568</v>
      </c>
      <c r="W172" s="113">
        <f t="shared" si="39"/>
        <v>19663480.096000001</v>
      </c>
      <c r="X172" s="99" t="s">
        <v>751</v>
      </c>
      <c r="AH172" s="99"/>
      <c r="AI172" s="113"/>
      <c r="AJ172" s="113"/>
      <c r="AK172" s="99"/>
      <c r="AL172" s="20">
        <f t="shared" si="34"/>
        <v>0</v>
      </c>
      <c r="AM172" s="117">
        <f t="shared" si="38"/>
        <v>0</v>
      </c>
      <c r="AN172" s="20"/>
    </row>
    <row r="173" spans="17:43">
      <c r="Q173" s="99"/>
      <c r="R173" s="36" t="s">
        <v>180</v>
      </c>
      <c r="S173" s="99" t="s">
        <v>267</v>
      </c>
      <c r="T173" s="168" t="s">
        <v>4656</v>
      </c>
      <c r="U173" s="168">
        <v>17769</v>
      </c>
      <c r="V173" s="113">
        <v>246.17877999999999</v>
      </c>
      <c r="W173" s="113">
        <f t="shared" si="39"/>
        <v>4374350.7418200001</v>
      </c>
      <c r="X173" s="99" t="s">
        <v>751</v>
      </c>
      <c r="AH173" s="99"/>
      <c r="AI173" s="113"/>
      <c r="AJ173" s="113"/>
      <c r="AK173" s="99"/>
      <c r="AL173" s="20">
        <f t="shared" si="34"/>
        <v>0</v>
      </c>
      <c r="AM173" s="117">
        <f t="shared" si="38"/>
        <v>0</v>
      </c>
      <c r="AN173" s="20"/>
    </row>
    <row r="174" spans="17:43">
      <c r="Q174" s="99"/>
      <c r="R174" s="99" t="s">
        <v>4442</v>
      </c>
      <c r="S174" s="95">
        <v>3000000</v>
      </c>
      <c r="T174" s="168" t="s">
        <v>4656</v>
      </c>
      <c r="U174" s="168">
        <v>17769</v>
      </c>
      <c r="V174" s="113">
        <v>246.17877999999999</v>
      </c>
      <c r="W174" s="113">
        <f t="shared" si="39"/>
        <v>4374350.7418200001</v>
      </c>
      <c r="X174" s="99" t="s">
        <v>452</v>
      </c>
      <c r="AH174" s="99"/>
      <c r="AI174" s="113"/>
      <c r="AJ174" s="113"/>
      <c r="AK174" s="99"/>
      <c r="AL174" s="20">
        <f t="shared" si="34"/>
        <v>0</v>
      </c>
      <c r="AM174" s="117">
        <f t="shared" si="38"/>
        <v>0</v>
      </c>
      <c r="AN174" s="20"/>
    </row>
    <row r="175" spans="17:43">
      <c r="Q175" s="99"/>
      <c r="R175" s="99" t="s">
        <v>4496</v>
      </c>
      <c r="S175" s="95">
        <v>2000000</v>
      </c>
      <c r="T175" s="168" t="s">
        <v>4661</v>
      </c>
      <c r="U175" s="168">
        <v>12438</v>
      </c>
      <c r="V175" s="113">
        <v>241.20465999999999</v>
      </c>
      <c r="W175" s="113">
        <f t="shared" si="39"/>
        <v>3000103.5610799999</v>
      </c>
      <c r="X175" s="99" t="s">
        <v>4449</v>
      </c>
      <c r="AH175" s="99"/>
      <c r="AI175" s="113"/>
      <c r="AJ175" s="113"/>
      <c r="AK175" s="99"/>
      <c r="AL175" s="20">
        <f t="shared" si="34"/>
        <v>0</v>
      </c>
      <c r="AM175" s="117">
        <f t="shared" si="38"/>
        <v>0</v>
      </c>
      <c r="AN175" s="20"/>
    </row>
    <row r="176" spans="17:43">
      <c r="Q176" s="99"/>
      <c r="R176" s="99" t="s">
        <v>4504</v>
      </c>
      <c r="S176" s="95">
        <v>1000000</v>
      </c>
      <c r="T176" s="168" t="s">
        <v>4671</v>
      </c>
      <c r="U176" s="168">
        <v>27363</v>
      </c>
      <c r="V176" s="113">
        <v>239.3886</v>
      </c>
      <c r="W176" s="113">
        <f t="shared" si="39"/>
        <v>6550390.2617999995</v>
      </c>
      <c r="X176" s="99" t="s">
        <v>751</v>
      </c>
      <c r="AH176" s="99"/>
      <c r="AI176" s="113"/>
      <c r="AJ176" s="113"/>
      <c r="AK176" s="99"/>
      <c r="AL176" s="20">
        <f t="shared" si="34"/>
        <v>0</v>
      </c>
      <c r="AM176" s="117">
        <f t="shared" si="38"/>
        <v>0</v>
      </c>
      <c r="AN176" s="20"/>
    </row>
    <row r="177" spans="17:44">
      <c r="Q177" s="99"/>
      <c r="R177" s="99" t="s">
        <v>4510</v>
      </c>
      <c r="S177" s="95">
        <v>2000000</v>
      </c>
      <c r="T177" s="168" t="s">
        <v>4671</v>
      </c>
      <c r="U177" s="168">
        <v>27363</v>
      </c>
      <c r="V177" s="113">
        <v>239.3886</v>
      </c>
      <c r="W177" s="113">
        <f t="shared" si="39"/>
        <v>6550390.2617999995</v>
      </c>
      <c r="X177" s="99" t="s">
        <v>452</v>
      </c>
      <c r="AH177" s="99"/>
      <c r="AI177" s="113"/>
      <c r="AJ177" s="113"/>
      <c r="AK177" s="99"/>
      <c r="AL177" s="20">
        <f t="shared" si="34"/>
        <v>0</v>
      </c>
      <c r="AM177" s="117">
        <f t="shared" si="38"/>
        <v>0</v>
      </c>
      <c r="AN177" s="20"/>
    </row>
    <row r="178" spans="17:44">
      <c r="Q178" s="99"/>
      <c r="R178" s="99" t="s">
        <v>994</v>
      </c>
      <c r="S178" s="95">
        <v>3000000</v>
      </c>
      <c r="T178" s="211" t="s">
        <v>4674</v>
      </c>
      <c r="U178" s="211">
        <v>27437</v>
      </c>
      <c r="V178" s="113">
        <v>242.4015</v>
      </c>
      <c r="W178" s="113">
        <f t="shared" si="39"/>
        <v>6650769.9555000002</v>
      </c>
      <c r="X178" s="99" t="s">
        <v>751</v>
      </c>
      <c r="AH178" s="99"/>
      <c r="AI178" s="113"/>
      <c r="AJ178" s="113"/>
      <c r="AK178" s="99"/>
      <c r="AL178" s="20">
        <f t="shared" si="34"/>
        <v>0</v>
      </c>
      <c r="AM178" s="117">
        <f t="shared" si="38"/>
        <v>0</v>
      </c>
      <c r="AN178" s="20"/>
    </row>
    <row r="179" spans="17:44">
      <c r="Q179" s="99"/>
      <c r="R179" s="99" t="s">
        <v>4661</v>
      </c>
      <c r="S179" s="95">
        <v>3000000</v>
      </c>
      <c r="T179" s="211" t="s">
        <v>4674</v>
      </c>
      <c r="U179" s="211">
        <v>29104</v>
      </c>
      <c r="V179" s="113">
        <v>242.4015</v>
      </c>
      <c r="W179" s="113">
        <f t="shared" si="39"/>
        <v>7054853.2560000001</v>
      </c>
      <c r="X179" s="99" t="s">
        <v>452</v>
      </c>
      <c r="Y179" t="s">
        <v>25</v>
      </c>
      <c r="AH179" s="99"/>
      <c r="AI179" s="113"/>
      <c r="AJ179" s="113"/>
      <c r="AK179" s="99"/>
      <c r="AL179" s="99">
        <f t="shared" si="34"/>
        <v>0</v>
      </c>
      <c r="AM179" s="117">
        <f t="shared" si="38"/>
        <v>0</v>
      </c>
      <c r="AN179" s="99"/>
    </row>
    <row r="180" spans="17:44">
      <c r="Q180" s="99" t="s">
        <v>4861</v>
      </c>
      <c r="R180" s="99" t="s">
        <v>4856</v>
      </c>
      <c r="S180" s="95">
        <v>-800000</v>
      </c>
      <c r="T180" s="214" t="s">
        <v>4698</v>
      </c>
      <c r="U180" s="214">
        <v>8991</v>
      </c>
      <c r="V180" s="113">
        <v>238.64867000000001</v>
      </c>
      <c r="W180" s="113">
        <f t="shared" si="39"/>
        <v>2145690.19197</v>
      </c>
      <c r="X180" s="99" t="s">
        <v>751</v>
      </c>
      <c r="AH180" s="99"/>
      <c r="AI180" s="99"/>
      <c r="AJ180" s="95">
        <f>SUM(AJ20:AJ179)</f>
        <v>541053407</v>
      </c>
      <c r="AK180" s="99"/>
      <c r="AL180" s="99"/>
      <c r="AM180" s="95">
        <f>SUM(AM20:AM179)</f>
        <v>100722482279</v>
      </c>
      <c r="AN180" s="95">
        <f>AM180*AN183/31</f>
        <v>54152955.230454616</v>
      </c>
    </row>
    <row r="181" spans="17:44">
      <c r="Q181" s="99" t="s">
        <v>4862</v>
      </c>
      <c r="R181" s="99" t="s">
        <v>4856</v>
      </c>
      <c r="S181" s="95">
        <v>-900000</v>
      </c>
      <c r="T181" s="214" t="s">
        <v>4698</v>
      </c>
      <c r="U181" s="214">
        <v>8991</v>
      </c>
      <c r="V181" s="113">
        <v>238.64867000000001</v>
      </c>
      <c r="W181" s="113">
        <f t="shared" si="39"/>
        <v>2145690.19197</v>
      </c>
      <c r="X181" s="99" t="s">
        <v>452</v>
      </c>
      <c r="Y181" t="s">
        <v>25</v>
      </c>
      <c r="AH181" s="99"/>
      <c r="AI181" s="99"/>
      <c r="AJ181" s="99" t="s">
        <v>4059</v>
      </c>
      <c r="AK181" s="99"/>
      <c r="AL181" s="99"/>
      <c r="AM181" s="99" t="s">
        <v>284</v>
      </c>
      <c r="AN181" s="99" t="s">
        <v>943</v>
      </c>
    </row>
    <row r="182" spans="17:44">
      <c r="Q182" s="99" t="s">
        <v>4862</v>
      </c>
      <c r="R182" s="99" t="s">
        <v>981</v>
      </c>
      <c r="S182" s="95">
        <v>-1100000</v>
      </c>
      <c r="T182" s="214" t="s">
        <v>4710</v>
      </c>
      <c r="U182" s="214">
        <v>18170</v>
      </c>
      <c r="V182" s="113">
        <v>240.48475999999999</v>
      </c>
      <c r="W182" s="113">
        <f t="shared" si="39"/>
        <v>4369608.0892000003</v>
      </c>
      <c r="X182" s="99" t="s">
        <v>751</v>
      </c>
      <c r="Y182" t="s">
        <v>25</v>
      </c>
      <c r="AH182" s="99"/>
      <c r="AI182" s="99"/>
      <c r="AJ182" s="99"/>
      <c r="AK182" s="99"/>
      <c r="AL182" s="99"/>
      <c r="AM182" s="99"/>
      <c r="AN182" s="99"/>
    </row>
    <row r="183" spans="17:44">
      <c r="Q183" s="196" t="s">
        <v>1087</v>
      </c>
      <c r="R183" s="196" t="s">
        <v>4887</v>
      </c>
      <c r="S183" s="243">
        <v>30000000</v>
      </c>
      <c r="T183" s="214" t="s">
        <v>4710</v>
      </c>
      <c r="U183" s="214">
        <v>18170</v>
      </c>
      <c r="V183" s="113">
        <v>240.48475999999999</v>
      </c>
      <c r="W183" s="113">
        <f t="shared" si="39"/>
        <v>4369608.0892000003</v>
      </c>
      <c r="X183" s="99" t="s">
        <v>452</v>
      </c>
      <c r="AH183" s="99"/>
      <c r="AI183" s="99"/>
      <c r="AJ183" s="99"/>
      <c r="AK183" s="99"/>
      <c r="AL183" s="99"/>
      <c r="AM183" s="99" t="s">
        <v>4060</v>
      </c>
      <c r="AN183" s="99">
        <v>1.6667000000000001E-2</v>
      </c>
    </row>
    <row r="184" spans="17:44">
      <c r="Q184" s="20" t="s">
        <v>4984</v>
      </c>
      <c r="R184" s="20" t="s">
        <v>4982</v>
      </c>
      <c r="S184" s="248">
        <v>2000000</v>
      </c>
      <c r="T184" s="214" t="s">
        <v>4712</v>
      </c>
      <c r="U184" s="214">
        <v>36797</v>
      </c>
      <c r="V184" s="113">
        <v>239.0822</v>
      </c>
      <c r="W184" s="113">
        <f t="shared" si="39"/>
        <v>8797507.7134000007</v>
      </c>
      <c r="X184" s="99" t="s">
        <v>751</v>
      </c>
      <c r="AH184" s="99"/>
      <c r="AI184" s="99"/>
      <c r="AJ184" s="99"/>
      <c r="AK184" s="99"/>
      <c r="AL184" s="99"/>
      <c r="AM184" s="99"/>
      <c r="AN184" s="99"/>
      <c r="AR184" t="s">
        <v>25</v>
      </c>
    </row>
    <row r="185" spans="17:44">
      <c r="Q185" s="149" t="s">
        <v>5016</v>
      </c>
      <c r="R185" s="149" t="s">
        <v>5015</v>
      </c>
      <c r="S185" s="150">
        <v>480105</v>
      </c>
      <c r="T185" s="214" t="s">
        <v>4712</v>
      </c>
      <c r="U185" s="214">
        <v>36797</v>
      </c>
      <c r="V185" s="113">
        <v>239.0822</v>
      </c>
      <c r="W185" s="113">
        <f t="shared" si="39"/>
        <v>8797507.7134000007</v>
      </c>
      <c r="X185" s="99" t="s">
        <v>452</v>
      </c>
      <c r="AH185" s="99"/>
      <c r="AI185" s="99" t="s">
        <v>4061</v>
      </c>
      <c r="AJ185" s="95">
        <f>AJ180+AN180</f>
        <v>595206362.23045456</v>
      </c>
      <c r="AK185" s="99"/>
      <c r="AL185" s="99"/>
      <c r="AM185" s="99"/>
      <c r="AN185" s="99"/>
    </row>
    <row r="186" spans="17:44">
      <c r="Q186" s="149"/>
      <c r="R186" s="149" t="s">
        <v>5074</v>
      </c>
      <c r="S186" s="150">
        <v>30500000</v>
      </c>
      <c r="T186" s="214" t="s">
        <v>4721</v>
      </c>
      <c r="U186" s="214">
        <v>28066</v>
      </c>
      <c r="V186" s="113">
        <v>237.56970000000001</v>
      </c>
      <c r="W186" s="113">
        <f t="shared" si="39"/>
        <v>6667631.2002000008</v>
      </c>
      <c r="X186" s="99" t="s">
        <v>751</v>
      </c>
      <c r="AI186" t="s">
        <v>4064</v>
      </c>
      <c r="AJ186" s="114">
        <f>SUM(N38:N44)</f>
        <v>751665033.5</v>
      </c>
    </row>
    <row r="187" spans="17:44">
      <c r="Q187" s="20"/>
      <c r="R187" s="20"/>
      <c r="S187" s="248"/>
      <c r="T187" s="214" t="s">
        <v>4721</v>
      </c>
      <c r="U187" s="214">
        <v>28066</v>
      </c>
      <c r="V187" s="113">
        <v>237.56970000000001</v>
      </c>
      <c r="W187" s="113">
        <f t="shared" si="39"/>
        <v>6667631.2002000008</v>
      </c>
      <c r="X187" s="99" t="s">
        <v>452</v>
      </c>
      <c r="Z187" t="s">
        <v>25</v>
      </c>
      <c r="AI187" t="s">
        <v>4136</v>
      </c>
      <c r="AJ187" s="114">
        <f>AJ186-AJ180</f>
        <v>210611626.5</v>
      </c>
      <c r="AM187" t="s">
        <v>25</v>
      </c>
    </row>
    <row r="188" spans="17:44">
      <c r="Q188" s="99"/>
      <c r="R188" s="99"/>
      <c r="S188" s="95"/>
      <c r="T188" s="214" t="s">
        <v>3684</v>
      </c>
      <c r="U188" s="214">
        <v>37457</v>
      </c>
      <c r="V188" s="113">
        <v>239.77</v>
      </c>
      <c r="W188" s="113">
        <f t="shared" si="39"/>
        <v>8981064.8900000006</v>
      </c>
      <c r="X188" s="99" t="s">
        <v>751</v>
      </c>
      <c r="AI188" t="s">
        <v>943</v>
      </c>
      <c r="AJ188" s="114">
        <f>AN180</f>
        <v>54152955.230454616</v>
      </c>
      <c r="AN188" t="s">
        <v>25</v>
      </c>
    </row>
    <row r="189" spans="17:44">
      <c r="Q189" s="99"/>
      <c r="R189" s="99"/>
      <c r="S189" s="95">
        <f>SUM(S174:S188)</f>
        <v>74180105</v>
      </c>
      <c r="T189" s="214" t="s">
        <v>3684</v>
      </c>
      <c r="U189" s="214">
        <v>37457</v>
      </c>
      <c r="V189" s="113">
        <v>239.77</v>
      </c>
      <c r="W189" s="113">
        <f t="shared" si="39"/>
        <v>8981064.8900000006</v>
      </c>
      <c r="X189" s="99" t="s">
        <v>452</v>
      </c>
      <c r="AI189" t="s">
        <v>4065</v>
      </c>
      <c r="AJ189" s="114">
        <f>AJ186-AJ185</f>
        <v>156458671.26954544</v>
      </c>
      <c r="AN189" t="s">
        <v>25</v>
      </c>
    </row>
    <row r="190" spans="17:44">
      <c r="Q190" s="99"/>
      <c r="R190" s="99"/>
      <c r="S190" s="99" t="s">
        <v>6</v>
      </c>
      <c r="T190" s="214" t="s">
        <v>4734</v>
      </c>
      <c r="U190" s="214">
        <v>38412</v>
      </c>
      <c r="V190" s="113">
        <v>239.03</v>
      </c>
      <c r="W190" s="113">
        <f t="shared" si="39"/>
        <v>9181620.3599999994</v>
      </c>
      <c r="X190" s="99" t="s">
        <v>751</v>
      </c>
      <c r="AM190" t="s">
        <v>25</v>
      </c>
    </row>
    <row r="191" spans="17:44">
      <c r="T191" s="214" t="s">
        <v>4734</v>
      </c>
      <c r="U191" s="214">
        <v>38412</v>
      </c>
      <c r="V191" s="113">
        <v>239.03</v>
      </c>
      <c r="W191" s="113">
        <f t="shared" si="39"/>
        <v>9181620.3599999994</v>
      </c>
      <c r="X191" s="99" t="s">
        <v>452</v>
      </c>
      <c r="Y191" t="s">
        <v>25</v>
      </c>
      <c r="AJ191" t="s">
        <v>25</v>
      </c>
    </row>
    <row r="192" spans="17:44">
      <c r="Q192" s="96"/>
      <c r="R192" s="96" t="s">
        <v>25</v>
      </c>
      <c r="T192" s="214" t="s">
        <v>4738</v>
      </c>
      <c r="U192" s="214">
        <v>49555</v>
      </c>
      <c r="V192" s="113">
        <v>238.345</v>
      </c>
      <c r="W192" s="113">
        <f t="shared" si="39"/>
        <v>11811186.475</v>
      </c>
      <c r="X192" s="99" t="s">
        <v>751</v>
      </c>
    </row>
    <row r="193" spans="15:44">
      <c r="O193" t="s">
        <v>25</v>
      </c>
      <c r="Q193" s="96"/>
      <c r="R193" s="96" t="s">
        <v>25</v>
      </c>
      <c r="T193" s="214" t="s">
        <v>4738</v>
      </c>
      <c r="U193" s="214">
        <v>49555</v>
      </c>
      <c r="V193" s="113">
        <v>238.345</v>
      </c>
      <c r="W193" s="113">
        <f t="shared" si="39"/>
        <v>11811186.475</v>
      </c>
      <c r="X193" s="99" t="s">
        <v>452</v>
      </c>
    </row>
    <row r="194" spans="15:44">
      <c r="T194" s="214" t="s">
        <v>4752</v>
      </c>
      <c r="U194" s="214">
        <v>160187</v>
      </c>
      <c r="V194" s="113">
        <v>257.49799999999999</v>
      </c>
      <c r="W194" s="113">
        <f t="shared" si="39"/>
        <v>41247832.126000002</v>
      </c>
      <c r="X194" s="99" t="s">
        <v>751</v>
      </c>
    </row>
    <row r="195" spans="15:44">
      <c r="Q195" s="99" t="s">
        <v>751</v>
      </c>
      <c r="R195" s="99"/>
      <c r="T195" s="214" t="s">
        <v>4752</v>
      </c>
      <c r="U195" s="214">
        <v>160187</v>
      </c>
      <c r="V195" s="113">
        <v>257.49799999999999</v>
      </c>
      <c r="W195" s="113">
        <f t="shared" si="39"/>
        <v>41247832.126000002</v>
      </c>
      <c r="X195" s="99" t="s">
        <v>452</v>
      </c>
    </row>
    <row r="196" spans="15:44">
      <c r="Q196" s="99" t="s">
        <v>4442</v>
      </c>
      <c r="R196" s="95">
        <v>172908000</v>
      </c>
      <c r="T196" s="214" t="s">
        <v>4760</v>
      </c>
      <c r="U196" s="214">
        <v>144401</v>
      </c>
      <c r="V196" s="113">
        <v>258.5061</v>
      </c>
      <c r="W196" s="113">
        <f t="shared" si="39"/>
        <v>37328539.346100003</v>
      </c>
      <c r="X196" s="99" t="s">
        <v>751</v>
      </c>
      <c r="AH196" s="99" t="s">
        <v>3641</v>
      </c>
      <c r="AI196" s="99" t="s">
        <v>180</v>
      </c>
      <c r="AJ196" s="99" t="s">
        <v>267</v>
      </c>
      <c r="AK196" s="99" t="s">
        <v>4058</v>
      </c>
      <c r="AL196" s="99" t="s">
        <v>4050</v>
      </c>
      <c r="AM196" s="99" t="s">
        <v>282</v>
      </c>
      <c r="AN196" s="99" t="s">
        <v>4292</v>
      </c>
    </row>
    <row r="197" spans="15:44">
      <c r="Q197" s="99" t="s">
        <v>4483</v>
      </c>
      <c r="R197" s="95">
        <v>1400000</v>
      </c>
      <c r="T197" s="214" t="s">
        <v>4760</v>
      </c>
      <c r="U197" s="214">
        <v>144401</v>
      </c>
      <c r="V197" s="113">
        <v>258.5061</v>
      </c>
      <c r="W197" s="113">
        <f t="shared" si="39"/>
        <v>37328539.346100003</v>
      </c>
      <c r="X197" s="99" t="s">
        <v>452</v>
      </c>
      <c r="Y197" t="s">
        <v>25</v>
      </c>
      <c r="AH197" s="99">
        <v>1</v>
      </c>
      <c r="AI197" s="99" t="s">
        <v>3949</v>
      </c>
      <c r="AJ197" s="117">
        <v>3555820</v>
      </c>
      <c r="AK197" s="99">
        <v>2</v>
      </c>
      <c r="AL197" s="99">
        <f>AK197+AL198</f>
        <v>328</v>
      </c>
      <c r="AM197" s="99">
        <f>AJ197*AL197</f>
        <v>1166308960</v>
      </c>
      <c r="AN197" s="99" t="s">
        <v>4312</v>
      </c>
    </row>
    <row r="198" spans="15:44">
      <c r="Q198" s="99" t="s">
        <v>4231</v>
      </c>
      <c r="R198" s="95">
        <v>247393</v>
      </c>
      <c r="S198" t="s">
        <v>25</v>
      </c>
      <c r="T198" s="168" t="s">
        <v>4768</v>
      </c>
      <c r="U198" s="168">
        <v>196500</v>
      </c>
      <c r="V198" s="113">
        <v>254.452</v>
      </c>
      <c r="W198" s="113">
        <f t="shared" si="39"/>
        <v>49999818</v>
      </c>
      <c r="X198" s="99" t="s">
        <v>4773</v>
      </c>
      <c r="AH198" s="99">
        <v>2</v>
      </c>
      <c r="AI198" s="99" t="s">
        <v>4024</v>
      </c>
      <c r="AJ198" s="117">
        <v>1720837</v>
      </c>
      <c r="AK198" s="99">
        <v>51</v>
      </c>
      <c r="AL198" s="99">
        <f t="shared" ref="AL198:AL207" si="42">AK198+AL199</f>
        <v>326</v>
      </c>
      <c r="AM198" s="99">
        <f t="shared" ref="AM198:AM226" si="43">AJ198*AL198</f>
        <v>560992862</v>
      </c>
      <c r="AN198" s="99" t="s">
        <v>4313</v>
      </c>
    </row>
    <row r="199" spans="15:44">
      <c r="Q199" s="99" t="s">
        <v>4230</v>
      </c>
      <c r="R199" s="95">
        <v>6780000</v>
      </c>
      <c r="T199" s="214" t="s">
        <v>4768</v>
      </c>
      <c r="U199" s="214">
        <v>2561</v>
      </c>
      <c r="V199" s="113">
        <v>254.536</v>
      </c>
      <c r="W199" s="113">
        <f t="shared" si="39"/>
        <v>651866.696</v>
      </c>
      <c r="X199" s="99" t="s">
        <v>4774</v>
      </c>
      <c r="AH199" s="99">
        <v>3</v>
      </c>
      <c r="AI199" s="99" t="s">
        <v>4130</v>
      </c>
      <c r="AJ199" s="117">
        <v>150000</v>
      </c>
      <c r="AK199" s="99">
        <v>3</v>
      </c>
      <c r="AL199" s="99">
        <f t="shared" si="42"/>
        <v>275</v>
      </c>
      <c r="AM199" s="99">
        <f t="shared" si="43"/>
        <v>41250000</v>
      </c>
      <c r="AN199" s="99"/>
    </row>
    <row r="200" spans="15:44">
      <c r="Q200" s="99" t="s">
        <v>4591</v>
      </c>
      <c r="R200" s="95">
        <v>-4000000</v>
      </c>
      <c r="T200" s="214" t="s">
        <v>4820</v>
      </c>
      <c r="U200" s="214">
        <v>-11795</v>
      </c>
      <c r="V200" s="113">
        <v>254.334</v>
      </c>
      <c r="W200" s="113">
        <f t="shared" si="39"/>
        <v>-2999869.5300000003</v>
      </c>
      <c r="X200" s="99" t="s">
        <v>4821</v>
      </c>
      <c r="AH200" s="99">
        <v>4</v>
      </c>
      <c r="AI200" s="99" t="s">
        <v>4145</v>
      </c>
      <c r="AJ200" s="117">
        <v>-95000</v>
      </c>
      <c r="AK200" s="99">
        <v>8</v>
      </c>
      <c r="AL200" s="99">
        <f t="shared" si="42"/>
        <v>272</v>
      </c>
      <c r="AM200" s="99">
        <f t="shared" si="43"/>
        <v>-25840000</v>
      </c>
      <c r="AN200" s="99"/>
    </row>
    <row r="201" spans="15:44">
      <c r="Q201" s="99" t="s">
        <v>4623</v>
      </c>
      <c r="R201" s="95">
        <v>16727037</v>
      </c>
      <c r="T201" s="214" t="s">
        <v>4820</v>
      </c>
      <c r="U201" s="214">
        <v>11795</v>
      </c>
      <c r="V201" s="113">
        <v>254.334</v>
      </c>
      <c r="W201" s="113">
        <f t="shared" si="39"/>
        <v>2999869.5300000003</v>
      </c>
      <c r="X201" s="99" t="s">
        <v>4822</v>
      </c>
      <c r="AH201" s="99">
        <v>5</v>
      </c>
      <c r="AI201" s="99" t="s">
        <v>4172</v>
      </c>
      <c r="AJ201" s="117">
        <v>3150000</v>
      </c>
      <c r="AK201" s="99">
        <v>16</v>
      </c>
      <c r="AL201" s="99">
        <f t="shared" si="42"/>
        <v>264</v>
      </c>
      <c r="AM201" s="99">
        <f t="shared" si="43"/>
        <v>831600000</v>
      </c>
      <c r="AN201" s="99"/>
      <c r="AQ201" t="s">
        <v>25</v>
      </c>
    </row>
    <row r="202" spans="15:44">
      <c r="Q202" s="99" t="s">
        <v>4628</v>
      </c>
      <c r="R202" s="95">
        <v>46460683</v>
      </c>
      <c r="S202" t="s">
        <v>25</v>
      </c>
      <c r="T202" s="214" t="s">
        <v>4837</v>
      </c>
      <c r="U202" s="214">
        <v>260</v>
      </c>
      <c r="V202" s="113">
        <v>263.19</v>
      </c>
      <c r="W202" s="113">
        <f t="shared" si="39"/>
        <v>68429.399999999994</v>
      </c>
      <c r="X202" s="99" t="s">
        <v>452</v>
      </c>
      <c r="AH202" s="99">
        <v>6</v>
      </c>
      <c r="AI202" s="99" t="s">
        <v>4240</v>
      </c>
      <c r="AJ202" s="117">
        <v>-65000</v>
      </c>
      <c r="AK202" s="99">
        <v>1</v>
      </c>
      <c r="AL202" s="99">
        <f t="shared" si="42"/>
        <v>248</v>
      </c>
      <c r="AM202" s="99">
        <f t="shared" si="43"/>
        <v>-16120000</v>
      </c>
      <c r="AN202" s="99"/>
    </row>
    <row r="203" spans="15:44">
      <c r="Q203" s="99" t="s">
        <v>4630</v>
      </c>
      <c r="R203" s="95">
        <v>19663646</v>
      </c>
      <c r="T203" s="214" t="s">
        <v>4851</v>
      </c>
      <c r="U203" s="214">
        <v>15257</v>
      </c>
      <c r="V203" s="113">
        <v>262.19018</v>
      </c>
      <c r="W203" s="113">
        <f t="shared" si="39"/>
        <v>4000235.57626</v>
      </c>
      <c r="X203" s="99" t="s">
        <v>452</v>
      </c>
      <c r="AH203" s="99">
        <v>7</v>
      </c>
      <c r="AI203" s="99" t="s">
        <v>4314</v>
      </c>
      <c r="AJ203" s="117">
        <v>-95000</v>
      </c>
      <c r="AK203" s="99">
        <v>6</v>
      </c>
      <c r="AL203" s="99">
        <f t="shared" si="42"/>
        <v>247</v>
      </c>
      <c r="AM203" s="99">
        <f t="shared" si="43"/>
        <v>-23465000</v>
      </c>
      <c r="AN203" s="99"/>
    </row>
    <row r="204" spans="15:44">
      <c r="Q204" s="99" t="s">
        <v>4656</v>
      </c>
      <c r="R204" s="95">
        <v>4374525</v>
      </c>
      <c r="T204" s="214" t="s">
        <v>4851</v>
      </c>
      <c r="U204" s="214">
        <v>8444</v>
      </c>
      <c r="V204" s="113">
        <v>266.43029999999999</v>
      </c>
      <c r="W204" s="113">
        <f t="shared" si="39"/>
        <v>2249737.4531999999</v>
      </c>
      <c r="X204" s="99" t="s">
        <v>452</v>
      </c>
      <c r="AH204" s="99">
        <v>8</v>
      </c>
      <c r="AI204" s="99" t="s">
        <v>4315</v>
      </c>
      <c r="AJ204" s="117">
        <v>232000</v>
      </c>
      <c r="AK204" s="99">
        <v>7</v>
      </c>
      <c r="AL204" s="99">
        <f t="shared" si="42"/>
        <v>241</v>
      </c>
      <c r="AM204" s="99">
        <f t="shared" si="43"/>
        <v>55912000</v>
      </c>
      <c r="AN204" s="99"/>
      <c r="AR204" t="s">
        <v>25</v>
      </c>
    </row>
    <row r="205" spans="15:44">
      <c r="Q205" s="99" t="s">
        <v>4671</v>
      </c>
      <c r="R205" s="95">
        <v>6550580</v>
      </c>
      <c r="T205" s="214" t="s">
        <v>4856</v>
      </c>
      <c r="U205" s="214">
        <v>-6209</v>
      </c>
      <c r="V205" s="113">
        <v>273.79649999999998</v>
      </c>
      <c r="W205" s="113">
        <f t="shared" si="39"/>
        <v>-1700002.4685</v>
      </c>
      <c r="X205" s="99" t="s">
        <v>4867</v>
      </c>
      <c r="AH205" s="99">
        <v>9</v>
      </c>
      <c r="AI205" s="99" t="s">
        <v>4291</v>
      </c>
      <c r="AJ205" s="117">
        <v>13000000</v>
      </c>
      <c r="AK205" s="99">
        <v>2</v>
      </c>
      <c r="AL205" s="99">
        <f t="shared" si="42"/>
        <v>234</v>
      </c>
      <c r="AM205" s="99">
        <f t="shared" si="43"/>
        <v>3042000000</v>
      </c>
      <c r="AN205" s="99"/>
    </row>
    <row r="206" spans="15:44">
      <c r="Q206" s="99" t="s">
        <v>4674</v>
      </c>
      <c r="R206" s="95">
        <v>6650895</v>
      </c>
      <c r="T206" s="214" t="s">
        <v>4856</v>
      </c>
      <c r="U206" s="214">
        <v>-8014</v>
      </c>
      <c r="V206" s="113">
        <v>273.79649999999998</v>
      </c>
      <c r="W206" s="113">
        <f t="shared" si="39"/>
        <v>-2194205.1510000001</v>
      </c>
      <c r="X206" s="99" t="s">
        <v>751</v>
      </c>
      <c r="AH206" s="99">
        <v>10</v>
      </c>
      <c r="AI206" s="99" t="s">
        <v>4316</v>
      </c>
      <c r="AJ206" s="117">
        <v>10000000</v>
      </c>
      <c r="AK206" s="99">
        <v>3</v>
      </c>
      <c r="AL206" s="99">
        <f t="shared" si="42"/>
        <v>232</v>
      </c>
      <c r="AM206" s="99">
        <f t="shared" si="43"/>
        <v>2320000000</v>
      </c>
      <c r="AN206" s="99"/>
    </row>
    <row r="207" spans="15:44">
      <c r="Q207" s="99" t="s">
        <v>4698</v>
      </c>
      <c r="R207" s="95">
        <v>2145814</v>
      </c>
      <c r="T207" s="214" t="s">
        <v>4865</v>
      </c>
      <c r="U207" s="214">
        <v>-9176</v>
      </c>
      <c r="V207" s="113">
        <v>273.79649999999998</v>
      </c>
      <c r="W207" s="113">
        <f t="shared" si="39"/>
        <v>-2512356.6839999999</v>
      </c>
      <c r="X207" s="99" t="s">
        <v>452</v>
      </c>
      <c r="AH207" s="99">
        <v>11</v>
      </c>
      <c r="AI207" s="99" t="s">
        <v>4304</v>
      </c>
      <c r="AJ207" s="117">
        <v>3400000</v>
      </c>
      <c r="AK207" s="99">
        <v>9</v>
      </c>
      <c r="AL207" s="99">
        <f t="shared" si="42"/>
        <v>229</v>
      </c>
      <c r="AM207" s="99">
        <f t="shared" si="43"/>
        <v>778600000</v>
      </c>
      <c r="AN207" s="99"/>
      <c r="AR207" t="s">
        <v>25</v>
      </c>
    </row>
    <row r="208" spans="15:44">
      <c r="Q208" s="99" t="s">
        <v>4710</v>
      </c>
      <c r="R208" s="95">
        <v>4369730</v>
      </c>
      <c r="T208" s="214" t="s">
        <v>4865</v>
      </c>
      <c r="U208" s="214">
        <v>1087</v>
      </c>
      <c r="V208" s="113">
        <v>273.79649999999998</v>
      </c>
      <c r="W208" s="113">
        <f t="shared" si="39"/>
        <v>297616.79550000001</v>
      </c>
      <c r="X208" s="99" t="s">
        <v>452</v>
      </c>
      <c r="AH208" s="99">
        <v>12</v>
      </c>
      <c r="AI208" s="99" t="s">
        <v>4346</v>
      </c>
      <c r="AJ208" s="117">
        <v>-8736514</v>
      </c>
      <c r="AK208" s="99">
        <v>1</v>
      </c>
      <c r="AL208" s="99">
        <f>AK208+AL209</f>
        <v>220</v>
      </c>
      <c r="AM208" s="99">
        <f t="shared" si="43"/>
        <v>-1922033080</v>
      </c>
      <c r="AN208" s="99"/>
    </row>
    <row r="209" spans="17:45">
      <c r="Q209" s="99" t="s">
        <v>4712</v>
      </c>
      <c r="R209" s="95">
        <v>8739459</v>
      </c>
      <c r="S209" t="s">
        <v>25</v>
      </c>
      <c r="T209" s="214" t="s">
        <v>981</v>
      </c>
      <c r="U209" s="214">
        <v>-4017</v>
      </c>
      <c r="V209" s="113">
        <v>273.79649999999998</v>
      </c>
      <c r="W209" s="113">
        <f t="shared" si="39"/>
        <v>-1099840.5404999999</v>
      </c>
      <c r="X209" s="99" t="s">
        <v>4449</v>
      </c>
      <c r="AH209" s="99">
        <v>13</v>
      </c>
      <c r="AI209" s="99" t="s">
        <v>4347</v>
      </c>
      <c r="AJ209" s="117">
        <v>555000</v>
      </c>
      <c r="AK209" s="99">
        <v>5</v>
      </c>
      <c r="AL209" s="99">
        <f t="shared" ref="AL209:AL225" si="44">AK209+AL210</f>
        <v>219</v>
      </c>
      <c r="AM209" s="99">
        <f t="shared" si="43"/>
        <v>121545000</v>
      </c>
      <c r="AN209" s="99"/>
      <c r="AP209" t="s">
        <v>25</v>
      </c>
    </row>
    <row r="210" spans="17:45">
      <c r="Q210" s="99" t="s">
        <v>4721</v>
      </c>
      <c r="R210" s="95">
        <v>6667654</v>
      </c>
      <c r="T210" s="214" t="s">
        <v>981</v>
      </c>
      <c r="U210" s="214">
        <v>4017</v>
      </c>
      <c r="V210" s="113">
        <v>273.79649999999998</v>
      </c>
      <c r="W210" s="113">
        <f t="shared" si="39"/>
        <v>1099840.5404999999</v>
      </c>
      <c r="X210" s="99" t="s">
        <v>452</v>
      </c>
      <c r="Z210" t="s">
        <v>25</v>
      </c>
      <c r="AH210" s="99">
        <v>14</v>
      </c>
      <c r="AI210" s="99" t="s">
        <v>4371</v>
      </c>
      <c r="AJ210" s="117">
        <v>-448308</v>
      </c>
      <c r="AK210" s="99">
        <v>6</v>
      </c>
      <c r="AL210" s="99">
        <f t="shared" si="44"/>
        <v>214</v>
      </c>
      <c r="AM210" s="99">
        <f t="shared" si="43"/>
        <v>-95937912</v>
      </c>
      <c r="AN210" s="99"/>
    </row>
    <row r="211" spans="17:45">
      <c r="Q211" s="99" t="s">
        <v>4729</v>
      </c>
      <c r="R211" s="95">
        <v>8981245</v>
      </c>
      <c r="T211" s="214" t="s">
        <v>4874</v>
      </c>
      <c r="U211" s="214">
        <v>3137</v>
      </c>
      <c r="V211" s="113">
        <v>283.69110000000001</v>
      </c>
      <c r="W211" s="113">
        <f t="shared" si="39"/>
        <v>889938.98070000007</v>
      </c>
      <c r="X211" s="99" t="s">
        <v>452</v>
      </c>
      <c r="AH211" s="99">
        <v>15</v>
      </c>
      <c r="AI211" s="99" t="s">
        <v>4402</v>
      </c>
      <c r="AJ211" s="117">
        <v>33225</v>
      </c>
      <c r="AK211" s="99">
        <v>0</v>
      </c>
      <c r="AL211" s="99">
        <f t="shared" si="44"/>
        <v>208</v>
      </c>
      <c r="AM211" s="99">
        <f t="shared" si="43"/>
        <v>6910800</v>
      </c>
      <c r="AN211" s="99"/>
    </row>
    <row r="212" spans="17:45">
      <c r="Q212" s="99" t="s">
        <v>4734</v>
      </c>
      <c r="R212" s="95">
        <v>9181756</v>
      </c>
      <c r="T212" s="214" t="s">
        <v>4887</v>
      </c>
      <c r="U212" s="214">
        <v>101933</v>
      </c>
      <c r="V212" s="113">
        <v>294.30973999999998</v>
      </c>
      <c r="W212" s="113">
        <f t="shared" si="39"/>
        <v>29999874.727419998</v>
      </c>
      <c r="X212" s="99" t="s">
        <v>1087</v>
      </c>
      <c r="AH212" s="149">
        <v>16</v>
      </c>
      <c r="AI212" s="149" t="s">
        <v>4402</v>
      </c>
      <c r="AJ212" s="189">
        <v>4098523</v>
      </c>
      <c r="AK212" s="149">
        <v>2</v>
      </c>
      <c r="AL212" s="149">
        <f t="shared" si="44"/>
        <v>208</v>
      </c>
      <c r="AM212" s="149">
        <f t="shared" si="43"/>
        <v>852492784</v>
      </c>
      <c r="AN212" s="149" t="s">
        <v>657</v>
      </c>
    </row>
    <row r="213" spans="17:45">
      <c r="Q213" s="99" t="s">
        <v>4738</v>
      </c>
      <c r="R213" s="95">
        <v>11811208</v>
      </c>
      <c r="S213" t="s">
        <v>25</v>
      </c>
      <c r="T213" s="214" t="s">
        <v>4898</v>
      </c>
      <c r="U213" s="214">
        <v>3407</v>
      </c>
      <c r="V213" s="113">
        <v>293.43799999999999</v>
      </c>
      <c r="W213" s="113">
        <f t="shared" si="39"/>
        <v>999743.26599999995</v>
      </c>
      <c r="X213" s="99" t="s">
        <v>452</v>
      </c>
      <c r="AH213" s="149">
        <v>17</v>
      </c>
      <c r="AI213" s="149" t="s">
        <v>4415</v>
      </c>
      <c r="AJ213" s="189">
        <v>-1000000</v>
      </c>
      <c r="AK213" s="149">
        <v>7</v>
      </c>
      <c r="AL213" s="149">
        <f t="shared" si="44"/>
        <v>206</v>
      </c>
      <c r="AM213" s="149">
        <f t="shared" si="43"/>
        <v>-206000000</v>
      </c>
      <c r="AN213" s="149" t="s">
        <v>657</v>
      </c>
      <c r="AR213" t="s">
        <v>25</v>
      </c>
    </row>
    <row r="214" spans="17:45">
      <c r="Q214" s="99" t="s">
        <v>4752</v>
      </c>
      <c r="R214" s="95">
        <v>41248054</v>
      </c>
      <c r="S214" t="s">
        <v>25</v>
      </c>
      <c r="T214" s="214" t="s">
        <v>4899</v>
      </c>
      <c r="U214" s="214">
        <v>68796</v>
      </c>
      <c r="V214" s="113">
        <v>293.53250000000003</v>
      </c>
      <c r="W214" s="113">
        <f t="shared" si="39"/>
        <v>20193861.870000001</v>
      </c>
      <c r="X214" s="99" t="s">
        <v>751</v>
      </c>
      <c r="AH214" s="149">
        <v>18</v>
      </c>
      <c r="AI214" s="149" t="s">
        <v>4438</v>
      </c>
      <c r="AJ214" s="189">
        <v>750000</v>
      </c>
      <c r="AK214" s="149">
        <v>1</v>
      </c>
      <c r="AL214" s="149">
        <f t="shared" si="44"/>
        <v>199</v>
      </c>
      <c r="AM214" s="149">
        <f t="shared" si="43"/>
        <v>149250000</v>
      </c>
      <c r="AN214" s="149" t="s">
        <v>657</v>
      </c>
      <c r="AQ214" t="s">
        <v>25</v>
      </c>
    </row>
    <row r="215" spans="17:45">
      <c r="Q215" s="99" t="s">
        <v>4760</v>
      </c>
      <c r="R215" s="95">
        <v>37328780</v>
      </c>
      <c r="T215" s="214" t="s">
        <v>4899</v>
      </c>
      <c r="U215" s="214">
        <v>154791</v>
      </c>
      <c r="V215" s="113">
        <v>293.53250000000003</v>
      </c>
      <c r="W215" s="113">
        <f t="shared" si="39"/>
        <v>45436189.207500003</v>
      </c>
      <c r="X215" s="99" t="s">
        <v>452</v>
      </c>
      <c r="AH215" s="196">
        <v>19</v>
      </c>
      <c r="AI215" s="196" t="s">
        <v>4440</v>
      </c>
      <c r="AJ215" s="197">
        <v>-604152</v>
      </c>
      <c r="AK215" s="196">
        <v>0</v>
      </c>
      <c r="AL215" s="196">
        <f t="shared" si="44"/>
        <v>198</v>
      </c>
      <c r="AM215" s="196">
        <f t="shared" si="43"/>
        <v>-119622096</v>
      </c>
      <c r="AN215" s="196" t="s">
        <v>657</v>
      </c>
    </row>
    <row r="216" spans="17:45">
      <c r="Q216" s="99" t="s">
        <v>4856</v>
      </c>
      <c r="R216" s="95">
        <v>-2194100</v>
      </c>
      <c r="T216" s="214" t="s">
        <v>4899</v>
      </c>
      <c r="U216" s="214">
        <v>-11923</v>
      </c>
      <c r="V216" s="113">
        <v>293.53250000000003</v>
      </c>
      <c r="W216" s="113">
        <f t="shared" si="39"/>
        <v>-3499787.9975000005</v>
      </c>
      <c r="X216" s="99" t="s">
        <v>452</v>
      </c>
      <c r="AH216" s="99">
        <v>20</v>
      </c>
      <c r="AI216" s="99" t="s">
        <v>4441</v>
      </c>
      <c r="AJ216" s="117">
        <v>-587083</v>
      </c>
      <c r="AK216" s="99">
        <v>4</v>
      </c>
      <c r="AL216" s="99">
        <f t="shared" si="44"/>
        <v>198</v>
      </c>
      <c r="AM216" s="99">
        <f t="shared" si="43"/>
        <v>-116242434</v>
      </c>
      <c r="AN216" s="99"/>
    </row>
    <row r="217" spans="17:45">
      <c r="Q217" s="99" t="s">
        <v>4899</v>
      </c>
      <c r="R217" s="95">
        <v>20193916</v>
      </c>
      <c r="T217" s="214" t="s">
        <v>4916</v>
      </c>
      <c r="U217" s="214">
        <v>8424</v>
      </c>
      <c r="V217" s="113">
        <v>299.15170000000001</v>
      </c>
      <c r="W217" s="113">
        <f t="shared" si="39"/>
        <v>2520053.9208</v>
      </c>
      <c r="X217" s="99" t="s">
        <v>452</v>
      </c>
      <c r="AH217" s="196">
        <v>21</v>
      </c>
      <c r="AI217" s="196" t="s">
        <v>4442</v>
      </c>
      <c r="AJ217" s="197">
        <v>-754351</v>
      </c>
      <c r="AK217" s="196">
        <v>0</v>
      </c>
      <c r="AL217" s="149">
        <f t="shared" si="44"/>
        <v>194</v>
      </c>
      <c r="AM217" s="196">
        <f t="shared" si="43"/>
        <v>-146344094</v>
      </c>
      <c r="AN217" s="196" t="s">
        <v>657</v>
      </c>
    </row>
    <row r="218" spans="17:45">
      <c r="Q218" s="99" t="s">
        <v>4982</v>
      </c>
      <c r="R218" s="95">
        <v>-2000000</v>
      </c>
      <c r="T218" s="214" t="s">
        <v>4953</v>
      </c>
      <c r="U218" s="214">
        <v>15943</v>
      </c>
      <c r="V218" s="113">
        <v>307.34415000000001</v>
      </c>
      <c r="W218" s="113">
        <f t="shared" si="39"/>
        <v>4899987.78345</v>
      </c>
      <c r="X218" s="99" t="s">
        <v>452</v>
      </c>
      <c r="AH218" s="99">
        <v>22</v>
      </c>
      <c r="AI218" s="99" t="s">
        <v>4442</v>
      </c>
      <c r="AJ218" s="117">
        <v>-189619</v>
      </c>
      <c r="AK218" s="99">
        <v>15</v>
      </c>
      <c r="AL218" s="99">
        <f t="shared" si="44"/>
        <v>194</v>
      </c>
      <c r="AM218" s="99">
        <f t="shared" si="43"/>
        <v>-36786086</v>
      </c>
      <c r="AN218" s="99"/>
      <c r="AS218" t="s">
        <v>25</v>
      </c>
    </row>
    <row r="219" spans="17:45">
      <c r="Q219" s="99" t="s">
        <v>5074</v>
      </c>
      <c r="R219" s="95">
        <v>6800000</v>
      </c>
      <c r="S219" t="s">
        <v>25</v>
      </c>
      <c r="T219" s="214" t="s">
        <v>4976</v>
      </c>
      <c r="U219" s="214">
        <v>3741</v>
      </c>
      <c r="V219" s="113">
        <v>307.34415000000001</v>
      </c>
      <c r="W219" s="113">
        <f t="shared" si="39"/>
        <v>1149774.4651500001</v>
      </c>
      <c r="X219" s="99" t="s">
        <v>452</v>
      </c>
      <c r="AH219" s="196">
        <v>23</v>
      </c>
      <c r="AI219" s="196" t="s">
        <v>4514</v>
      </c>
      <c r="AJ219" s="189">
        <v>7100</v>
      </c>
      <c r="AK219" s="196">
        <v>0</v>
      </c>
      <c r="AL219" s="149">
        <f t="shared" si="44"/>
        <v>179</v>
      </c>
      <c r="AM219" s="196">
        <f t="shared" si="43"/>
        <v>1270900</v>
      </c>
      <c r="AN219" s="196" t="s">
        <v>657</v>
      </c>
    </row>
    <row r="220" spans="17:45">
      <c r="Q220" s="99" t="s">
        <v>5095</v>
      </c>
      <c r="R220" s="95">
        <v>850000</v>
      </c>
      <c r="T220" s="214" t="s">
        <v>4982</v>
      </c>
      <c r="U220" s="214">
        <v>-6207</v>
      </c>
      <c r="V220" s="113">
        <v>322.214</v>
      </c>
      <c r="W220" s="113">
        <f t="shared" si="39"/>
        <v>-1999982.298</v>
      </c>
      <c r="X220" s="99" t="s">
        <v>751</v>
      </c>
      <c r="AH220" s="20">
        <v>24</v>
      </c>
      <c r="AI220" s="20" t="s">
        <v>4514</v>
      </c>
      <c r="AJ220" s="117">
        <v>-147902</v>
      </c>
      <c r="AK220" s="20">
        <v>3</v>
      </c>
      <c r="AL220" s="99">
        <f t="shared" si="44"/>
        <v>179</v>
      </c>
      <c r="AM220" s="20">
        <f t="shared" si="43"/>
        <v>-26474458</v>
      </c>
      <c r="AN220" s="20"/>
    </row>
    <row r="221" spans="17:45">
      <c r="Q221" s="99"/>
      <c r="R221" s="95"/>
      <c r="T221" s="214" t="s">
        <v>4982</v>
      </c>
      <c r="U221" s="214">
        <v>6207</v>
      </c>
      <c r="V221" s="113">
        <v>322.214</v>
      </c>
      <c r="W221" s="113">
        <f t="shared" si="39"/>
        <v>1999982.298</v>
      </c>
      <c r="X221" s="99" t="s">
        <v>4449</v>
      </c>
      <c r="AH221" s="149">
        <v>25</v>
      </c>
      <c r="AI221" s="149" t="s">
        <v>4522</v>
      </c>
      <c r="AJ221" s="189">
        <v>-37200</v>
      </c>
      <c r="AK221" s="149">
        <v>4</v>
      </c>
      <c r="AL221" s="149">
        <f t="shared" si="44"/>
        <v>176</v>
      </c>
      <c r="AM221" s="196">
        <f t="shared" si="43"/>
        <v>-6547200</v>
      </c>
      <c r="AN221" s="149" t="s">
        <v>657</v>
      </c>
    </row>
    <row r="222" spans="17:45">
      <c r="Q222" s="99"/>
      <c r="R222" s="95">
        <f>SUM(R196:R221)</f>
        <v>431886275</v>
      </c>
      <c r="S222" t="s">
        <v>25</v>
      </c>
      <c r="T222" s="214" t="s">
        <v>4925</v>
      </c>
      <c r="U222" s="214">
        <v>776</v>
      </c>
      <c r="V222" s="113">
        <v>322.214</v>
      </c>
      <c r="W222" s="113">
        <f t="shared" si="39"/>
        <v>250038.06400000001</v>
      </c>
      <c r="X222" s="99" t="s">
        <v>452</v>
      </c>
      <c r="AH222" s="99">
        <v>26</v>
      </c>
      <c r="AI222" s="99" t="s">
        <v>4553</v>
      </c>
      <c r="AJ222" s="117">
        <v>-372326</v>
      </c>
      <c r="AK222" s="99">
        <v>21</v>
      </c>
      <c r="AL222" s="99">
        <f t="shared" si="44"/>
        <v>172</v>
      </c>
      <c r="AM222" s="20">
        <f t="shared" si="43"/>
        <v>-64040072</v>
      </c>
      <c r="AN222" s="99"/>
    </row>
    <row r="223" spans="17:45">
      <c r="Q223" s="99"/>
      <c r="R223" s="99" t="s">
        <v>6</v>
      </c>
      <c r="T223" s="214" t="s">
        <v>5015</v>
      </c>
      <c r="U223" s="214">
        <v>1524</v>
      </c>
      <c r="V223" s="113">
        <v>314.95999999999998</v>
      </c>
      <c r="W223" s="113">
        <f t="shared" si="39"/>
        <v>479999.04</v>
      </c>
      <c r="X223" s="99" t="s">
        <v>1087</v>
      </c>
      <c r="AH223" s="99">
        <v>27</v>
      </c>
      <c r="AI223" s="99" t="s">
        <v>4605</v>
      </c>
      <c r="AJ223" s="117">
        <v>235062</v>
      </c>
      <c r="AK223" s="99">
        <v>0</v>
      </c>
      <c r="AL223" s="99">
        <f t="shared" si="44"/>
        <v>151</v>
      </c>
      <c r="AM223" s="20">
        <f t="shared" si="43"/>
        <v>35494362</v>
      </c>
      <c r="AN223" s="99"/>
    </row>
    <row r="224" spans="17:45">
      <c r="T224" s="214" t="s">
        <v>5024</v>
      </c>
      <c r="U224" s="214">
        <v>4435</v>
      </c>
      <c r="V224" s="113">
        <v>316.4375</v>
      </c>
      <c r="W224" s="113">
        <f t="shared" si="39"/>
        <v>1403400.3125</v>
      </c>
      <c r="X224" s="99" t="s">
        <v>452</v>
      </c>
      <c r="Z224" t="s">
        <v>25</v>
      </c>
      <c r="AH224" s="149">
        <v>28</v>
      </c>
      <c r="AI224" s="149" t="s">
        <v>4605</v>
      </c>
      <c r="AJ224" s="189">
        <v>235062</v>
      </c>
      <c r="AK224" s="149">
        <v>9</v>
      </c>
      <c r="AL224" s="99">
        <f t="shared" si="44"/>
        <v>151</v>
      </c>
      <c r="AM224" s="149">
        <f t="shared" si="43"/>
        <v>35494362</v>
      </c>
      <c r="AN224" s="149" t="s">
        <v>657</v>
      </c>
    </row>
    <row r="225" spans="17:44">
      <c r="T225" s="214" t="s">
        <v>5029</v>
      </c>
      <c r="U225" s="214">
        <v>624</v>
      </c>
      <c r="V225" s="113">
        <v>320.5</v>
      </c>
      <c r="W225" s="113">
        <f t="shared" si="39"/>
        <v>199992</v>
      </c>
      <c r="X225" s="99" t="s">
        <v>452</v>
      </c>
      <c r="AH225" s="149">
        <v>29</v>
      </c>
      <c r="AI225" s="149" t="s">
        <v>4630</v>
      </c>
      <c r="AJ225" s="189">
        <v>450000</v>
      </c>
      <c r="AK225" s="149">
        <v>0</v>
      </c>
      <c r="AL225" s="99">
        <f t="shared" si="44"/>
        <v>142</v>
      </c>
      <c r="AM225" s="149">
        <f t="shared" si="43"/>
        <v>63900000</v>
      </c>
      <c r="AN225" s="149" t="s">
        <v>657</v>
      </c>
    </row>
    <row r="226" spans="17:44">
      <c r="Q226" s="99" t="s">
        <v>452</v>
      </c>
      <c r="R226" s="99"/>
      <c r="S226" t="s">
        <v>25</v>
      </c>
      <c r="T226" s="214" t="s">
        <v>5036</v>
      </c>
      <c r="U226" s="214">
        <v>1086</v>
      </c>
      <c r="V226" s="113">
        <v>317.55</v>
      </c>
      <c r="W226" s="113">
        <f t="shared" si="39"/>
        <v>344859.3</v>
      </c>
      <c r="X226" s="99" t="s">
        <v>452</v>
      </c>
      <c r="Y226" t="s">
        <v>25</v>
      </c>
      <c r="AH226" s="20">
        <v>30</v>
      </c>
      <c r="AI226" s="20" t="s">
        <v>4630</v>
      </c>
      <c r="AJ226" s="117">
        <v>450000</v>
      </c>
      <c r="AK226" s="20">
        <v>22</v>
      </c>
      <c r="AL226" s="99">
        <f>AK226+AL227</f>
        <v>142</v>
      </c>
      <c r="AM226" s="20">
        <f t="shared" si="43"/>
        <v>63900000</v>
      </c>
      <c r="AN226" s="20"/>
    </row>
    <row r="227" spans="17:44">
      <c r="Q227" s="99" t="s">
        <v>4442</v>
      </c>
      <c r="R227" s="95">
        <v>63115000</v>
      </c>
      <c r="T227" s="214" t="s">
        <v>5042</v>
      </c>
      <c r="U227" s="214">
        <v>2820</v>
      </c>
      <c r="V227" s="113">
        <v>319.1096</v>
      </c>
      <c r="W227" s="113">
        <f t="shared" si="39"/>
        <v>899889.07200000004</v>
      </c>
      <c r="X227" s="99" t="s">
        <v>452</v>
      </c>
      <c r="AH227" s="149">
        <v>31</v>
      </c>
      <c r="AI227" s="149" t="s">
        <v>4712</v>
      </c>
      <c r="AJ227" s="189">
        <v>300000</v>
      </c>
      <c r="AK227" s="149">
        <v>0</v>
      </c>
      <c r="AL227" s="149">
        <f t="shared" ref="AL227:AL242" si="45">AK227+AL228</f>
        <v>120</v>
      </c>
      <c r="AM227" s="149">
        <f t="shared" ref="AM227:AM230" si="46">AJ227*AL227</f>
        <v>36000000</v>
      </c>
      <c r="AN227" s="149"/>
    </row>
    <row r="228" spans="17:44" ht="30">
      <c r="Q228" s="99" t="s">
        <v>4496</v>
      </c>
      <c r="R228" s="95">
        <v>13300000</v>
      </c>
      <c r="T228" s="214" t="s">
        <v>5046</v>
      </c>
      <c r="U228" s="214">
        <v>1145</v>
      </c>
      <c r="V228" s="113">
        <v>325.44</v>
      </c>
      <c r="W228" s="113">
        <f t="shared" si="39"/>
        <v>372628.8</v>
      </c>
      <c r="X228" s="99" t="s">
        <v>452</v>
      </c>
      <c r="Y228" s="96"/>
      <c r="AH228" s="121">
        <v>32</v>
      </c>
      <c r="AI228" s="121" t="s">
        <v>4712</v>
      </c>
      <c r="AJ228" s="79">
        <v>288936</v>
      </c>
      <c r="AK228" s="121">
        <v>3</v>
      </c>
      <c r="AL228" s="121">
        <f t="shared" si="45"/>
        <v>120</v>
      </c>
      <c r="AM228" s="121">
        <f t="shared" si="46"/>
        <v>34672320</v>
      </c>
      <c r="AN228" s="206" t="s">
        <v>4723</v>
      </c>
    </row>
    <row r="229" spans="17:44">
      <c r="Q229" s="99" t="s">
        <v>4504</v>
      </c>
      <c r="R229" s="95">
        <v>2269000</v>
      </c>
      <c r="T229" s="214" t="s">
        <v>5058</v>
      </c>
      <c r="U229" s="214">
        <v>20153</v>
      </c>
      <c r="V229" s="113">
        <v>322</v>
      </c>
      <c r="W229" s="113">
        <f t="shared" si="39"/>
        <v>6489266</v>
      </c>
      <c r="X229" s="99" t="s">
        <v>452</v>
      </c>
      <c r="Y229" t="s">
        <v>25</v>
      </c>
      <c r="AH229" s="121">
        <v>33</v>
      </c>
      <c r="AI229" s="121" t="s">
        <v>4721</v>
      </c>
      <c r="AJ229" s="79">
        <v>17962491</v>
      </c>
      <c r="AK229" s="121">
        <v>1</v>
      </c>
      <c r="AL229" s="121">
        <f t="shared" si="45"/>
        <v>117</v>
      </c>
      <c r="AM229" s="121">
        <f t="shared" si="46"/>
        <v>2101611447</v>
      </c>
      <c r="AN229" s="121" t="s">
        <v>4728</v>
      </c>
    </row>
    <row r="230" spans="17:44">
      <c r="Q230" s="99" t="s">
        <v>4619</v>
      </c>
      <c r="R230" s="95">
        <v>25071612</v>
      </c>
      <c r="T230" s="214" t="s">
        <v>5074</v>
      </c>
      <c r="U230" s="214">
        <v>93720</v>
      </c>
      <c r="V230" s="113">
        <v>325.435</v>
      </c>
      <c r="W230" s="113">
        <f t="shared" si="39"/>
        <v>30499768.199999999</v>
      </c>
      <c r="X230" s="99" t="s">
        <v>1087</v>
      </c>
      <c r="AH230" s="121">
        <v>34</v>
      </c>
      <c r="AI230" s="121" t="s">
        <v>3684</v>
      </c>
      <c r="AJ230" s="79">
        <v>18363511</v>
      </c>
      <c r="AK230" s="121">
        <v>1</v>
      </c>
      <c r="AL230" s="121">
        <f t="shared" si="45"/>
        <v>116</v>
      </c>
      <c r="AM230" s="121">
        <f t="shared" si="46"/>
        <v>2130167276</v>
      </c>
      <c r="AN230" s="121" t="s">
        <v>4728</v>
      </c>
      <c r="AQ230" t="s">
        <v>25</v>
      </c>
    </row>
    <row r="231" spans="17:44">
      <c r="Q231" s="99" t="s">
        <v>4628</v>
      </c>
      <c r="R231" s="95">
        <v>42236984</v>
      </c>
      <c r="T231" s="214" t="s">
        <v>5074</v>
      </c>
      <c r="U231" s="214">
        <v>20895</v>
      </c>
      <c r="V231" s="113">
        <v>325.435</v>
      </c>
      <c r="W231" s="113">
        <f t="shared" si="39"/>
        <v>6799964.3250000002</v>
      </c>
      <c r="X231" s="99" t="s">
        <v>751</v>
      </c>
      <c r="AH231" s="121">
        <v>35</v>
      </c>
      <c r="AI231" s="121" t="s">
        <v>4734</v>
      </c>
      <c r="AJ231" s="79">
        <v>23622417</v>
      </c>
      <c r="AK231" s="121">
        <v>5</v>
      </c>
      <c r="AL231" s="121">
        <f t="shared" si="45"/>
        <v>115</v>
      </c>
      <c r="AM231" s="121">
        <f t="shared" ref="AM231:AM234" si="47">AJ231*AL231</f>
        <v>2716577955</v>
      </c>
      <c r="AN231" s="121" t="s">
        <v>4737</v>
      </c>
    </row>
    <row r="232" spans="17:44">
      <c r="Q232" s="99" t="s">
        <v>4630</v>
      </c>
      <c r="R232" s="95">
        <v>19663646</v>
      </c>
      <c r="T232" s="214" t="s">
        <v>5095</v>
      </c>
      <c r="U232" s="214">
        <v>2611</v>
      </c>
      <c r="V232" s="113">
        <v>325.435</v>
      </c>
      <c r="W232" s="113">
        <f t="shared" si="39"/>
        <v>849710.78500000003</v>
      </c>
      <c r="X232" s="99" t="s">
        <v>751</v>
      </c>
      <c r="AH232" s="121">
        <v>36</v>
      </c>
      <c r="AI232" s="121" t="s">
        <v>4750</v>
      </c>
      <c r="AJ232" s="79">
        <v>82496108</v>
      </c>
      <c r="AK232" s="121">
        <v>1</v>
      </c>
      <c r="AL232" s="121">
        <f t="shared" si="45"/>
        <v>110</v>
      </c>
      <c r="AM232" s="121">
        <f t="shared" si="47"/>
        <v>9074571880</v>
      </c>
      <c r="AN232" s="121" t="s">
        <v>4753</v>
      </c>
    </row>
    <row r="233" spans="17:44">
      <c r="Q233" s="99" t="s">
        <v>4656</v>
      </c>
      <c r="R233" s="95">
        <v>4374525</v>
      </c>
      <c r="T233" s="168"/>
      <c r="U233" s="168"/>
      <c r="V233" s="113"/>
      <c r="W233" s="113"/>
      <c r="X233" s="99"/>
      <c r="Y233" t="s">
        <v>25</v>
      </c>
      <c r="AH233" s="121">
        <v>37</v>
      </c>
      <c r="AI233" s="121" t="s">
        <v>4752</v>
      </c>
      <c r="AJ233" s="79">
        <v>74657561</v>
      </c>
      <c r="AK233" s="121">
        <v>16</v>
      </c>
      <c r="AL233" s="121">
        <f t="shared" si="45"/>
        <v>109</v>
      </c>
      <c r="AM233" s="121">
        <f t="shared" si="47"/>
        <v>8137674149</v>
      </c>
      <c r="AN233" s="121" t="s">
        <v>4759</v>
      </c>
    </row>
    <row r="234" spans="17:44">
      <c r="Q234" s="99" t="s">
        <v>4671</v>
      </c>
      <c r="R234" s="95">
        <v>6550580</v>
      </c>
      <c r="T234" s="168"/>
      <c r="U234" s="168">
        <f>SUM(U156:U233)</f>
        <v>3706683</v>
      </c>
      <c r="V234" s="99"/>
      <c r="W234" s="99"/>
      <c r="X234" s="99"/>
      <c r="AH234" s="99">
        <v>38</v>
      </c>
      <c r="AI234" s="99" t="s">
        <v>4837</v>
      </c>
      <c r="AJ234" s="117">
        <v>665000</v>
      </c>
      <c r="AK234" s="99">
        <v>0</v>
      </c>
      <c r="AL234" s="99">
        <f t="shared" si="45"/>
        <v>93</v>
      </c>
      <c r="AM234" s="20">
        <f t="shared" si="47"/>
        <v>61845000</v>
      </c>
      <c r="AN234" s="99"/>
    </row>
    <row r="235" spans="17:44">
      <c r="Q235" s="99" t="s">
        <v>4674</v>
      </c>
      <c r="R235" s="95">
        <v>7054895</v>
      </c>
      <c r="T235" s="99"/>
      <c r="U235" s="99" t="s">
        <v>6</v>
      </c>
      <c r="V235" s="99"/>
      <c r="W235" s="99"/>
      <c r="X235" s="99"/>
      <c r="AA235" t="s">
        <v>25</v>
      </c>
      <c r="AH235" s="149">
        <v>39</v>
      </c>
      <c r="AI235" s="149" t="s">
        <v>4837</v>
      </c>
      <c r="AJ235" s="189">
        <v>665000</v>
      </c>
      <c r="AK235" s="149">
        <v>4</v>
      </c>
      <c r="AL235" s="196">
        <f t="shared" si="45"/>
        <v>93</v>
      </c>
      <c r="AM235" s="196">
        <f t="shared" ref="AM235:AM236" si="48">AJ235*AL235</f>
        <v>61845000</v>
      </c>
      <c r="AN235" s="196"/>
    </row>
    <row r="236" spans="17:44">
      <c r="Q236" s="99" t="s">
        <v>4698</v>
      </c>
      <c r="R236" s="95">
        <v>2145814</v>
      </c>
      <c r="T236" s="201" t="s">
        <v>4486</v>
      </c>
      <c r="AH236" s="20">
        <v>40</v>
      </c>
      <c r="AI236" s="20" t="s">
        <v>4851</v>
      </c>
      <c r="AJ236" s="117">
        <v>2000000</v>
      </c>
      <c r="AK236" s="20">
        <v>1</v>
      </c>
      <c r="AL236" s="99">
        <f t="shared" si="45"/>
        <v>89</v>
      </c>
      <c r="AM236" s="20">
        <f t="shared" si="48"/>
        <v>178000000</v>
      </c>
      <c r="AN236" s="99"/>
    </row>
    <row r="237" spans="17:44">
      <c r="Q237" s="99" t="s">
        <v>4710</v>
      </c>
      <c r="R237" s="95">
        <v>4369730</v>
      </c>
      <c r="T237" s="200">
        <f>R166/U234</f>
        <v>342.27496902216888</v>
      </c>
      <c r="AH237" s="20">
        <v>41</v>
      </c>
      <c r="AI237" s="20" t="s">
        <v>4856</v>
      </c>
      <c r="AJ237" s="117">
        <v>-2060725</v>
      </c>
      <c r="AK237" s="20">
        <v>0</v>
      </c>
      <c r="AL237" s="99">
        <f t="shared" si="45"/>
        <v>88</v>
      </c>
      <c r="AM237" s="20">
        <f t="shared" ref="AM237:AM242" si="49">AJ237*AL237</f>
        <v>-181343800</v>
      </c>
      <c r="AN237" s="99" t="s">
        <v>4857</v>
      </c>
    </row>
    <row r="238" spans="17:44">
      <c r="Q238" s="99" t="s">
        <v>4712</v>
      </c>
      <c r="R238" s="95">
        <v>8739459</v>
      </c>
      <c r="T238">
        <v>325.435</v>
      </c>
      <c r="W238" s="114"/>
      <c r="AH238" s="149">
        <v>42</v>
      </c>
      <c r="AI238" s="149" t="s">
        <v>4856</v>
      </c>
      <c r="AJ238" s="189">
        <v>-433375</v>
      </c>
      <c r="AK238" s="149">
        <v>0</v>
      </c>
      <c r="AL238" s="149">
        <f t="shared" si="45"/>
        <v>88</v>
      </c>
      <c r="AM238" s="149">
        <f t="shared" si="49"/>
        <v>-38137000</v>
      </c>
      <c r="AN238" s="149" t="s">
        <v>4858</v>
      </c>
      <c r="AR238" t="s">
        <v>25</v>
      </c>
    </row>
    <row r="239" spans="17:44">
      <c r="Q239" s="99" t="s">
        <v>4721</v>
      </c>
      <c r="R239" s="95">
        <v>6667654</v>
      </c>
      <c r="U239" s="96" t="s">
        <v>267</v>
      </c>
      <c r="V239" t="s">
        <v>4487</v>
      </c>
      <c r="X239" t="s">
        <v>25</v>
      </c>
      <c r="AH239" s="20">
        <v>43</v>
      </c>
      <c r="AI239" s="20" t="s">
        <v>4856</v>
      </c>
      <c r="AJ239" s="117">
        <v>28000000</v>
      </c>
      <c r="AK239" s="20">
        <v>1</v>
      </c>
      <c r="AL239" s="99">
        <f t="shared" si="45"/>
        <v>88</v>
      </c>
      <c r="AM239" s="20">
        <f t="shared" si="49"/>
        <v>2464000000</v>
      </c>
      <c r="AN239" s="99" t="s">
        <v>3891</v>
      </c>
      <c r="AR239" t="s">
        <v>25</v>
      </c>
    </row>
    <row r="240" spans="17:44">
      <c r="Q240" s="99" t="s">
        <v>3684</v>
      </c>
      <c r="R240" s="95">
        <v>8981245</v>
      </c>
      <c r="T240" s="114"/>
      <c r="U240" s="113">
        <v>850000</v>
      </c>
      <c r="V240">
        <f>U240/T238</f>
        <v>2611.8887028131576</v>
      </c>
      <c r="X240" t="s">
        <v>25</v>
      </c>
      <c r="AH240" s="20">
        <v>44</v>
      </c>
      <c r="AI240" s="20" t="s">
        <v>4865</v>
      </c>
      <c r="AJ240" s="117">
        <v>160000</v>
      </c>
      <c r="AK240" s="20">
        <v>0</v>
      </c>
      <c r="AL240" s="99">
        <f t="shared" si="45"/>
        <v>87</v>
      </c>
      <c r="AM240" s="20">
        <f t="shared" si="49"/>
        <v>13920000</v>
      </c>
      <c r="AN240" s="99"/>
    </row>
    <row r="241" spans="17:43">
      <c r="Q241" s="99" t="s">
        <v>4734</v>
      </c>
      <c r="R241" s="95">
        <v>9181756</v>
      </c>
      <c r="X241" t="s">
        <v>25</v>
      </c>
      <c r="AH241" s="149">
        <v>45</v>
      </c>
      <c r="AI241" s="149" t="s">
        <v>4865</v>
      </c>
      <c r="AJ241" s="189">
        <v>70000</v>
      </c>
      <c r="AK241" s="149">
        <v>9</v>
      </c>
      <c r="AL241" s="149">
        <f t="shared" si="45"/>
        <v>87</v>
      </c>
      <c r="AM241" s="149">
        <f t="shared" si="49"/>
        <v>6090000</v>
      </c>
      <c r="AN241" s="149"/>
    </row>
    <row r="242" spans="17:43">
      <c r="Q242" s="99" t="s">
        <v>4738</v>
      </c>
      <c r="R242" s="95">
        <v>11811208</v>
      </c>
      <c r="W242" s="224"/>
      <c r="X242" s="96" t="s">
        <v>25</v>
      </c>
      <c r="AH242" s="20">
        <v>46</v>
      </c>
      <c r="AI242" s="20" t="s">
        <v>4874</v>
      </c>
      <c r="AJ242" s="117">
        <v>850000</v>
      </c>
      <c r="AK242" s="20">
        <v>0</v>
      </c>
      <c r="AL242" s="99">
        <f t="shared" si="45"/>
        <v>78</v>
      </c>
      <c r="AM242" s="20">
        <f t="shared" si="49"/>
        <v>66300000</v>
      </c>
      <c r="AN242" s="99"/>
    </row>
    <row r="243" spans="17:43">
      <c r="Q243" s="99" t="s">
        <v>4752</v>
      </c>
      <c r="R243" s="95">
        <v>41248054</v>
      </c>
      <c r="X243" t="s">
        <v>25</v>
      </c>
      <c r="AH243" s="196">
        <v>47</v>
      </c>
      <c r="AI243" s="196" t="s">
        <v>4874</v>
      </c>
      <c r="AJ243" s="197">
        <v>20000</v>
      </c>
      <c r="AK243" s="196">
        <v>4</v>
      </c>
      <c r="AL243" s="196">
        <f t="shared" ref="AL243:AL251" si="50">AK243+AL244</f>
        <v>78</v>
      </c>
      <c r="AM243" s="196">
        <f t="shared" ref="AM243:AM251" si="51">AJ243*AL243</f>
        <v>1560000</v>
      </c>
      <c r="AN243" s="196"/>
    </row>
    <row r="244" spans="17:43">
      <c r="Q244" s="99" t="s">
        <v>4760</v>
      </c>
      <c r="R244" s="95">
        <v>37328780</v>
      </c>
      <c r="X244" t="s">
        <v>25</v>
      </c>
      <c r="AH244" s="196">
        <v>48</v>
      </c>
      <c r="AI244" s="196" t="s">
        <v>4887</v>
      </c>
      <c r="AJ244" s="197">
        <v>30000000</v>
      </c>
      <c r="AK244" s="196">
        <v>27</v>
      </c>
      <c r="AL244" s="196">
        <f t="shared" si="50"/>
        <v>74</v>
      </c>
      <c r="AM244" s="196">
        <f t="shared" si="51"/>
        <v>2220000000</v>
      </c>
      <c r="AN244" s="196" t="s">
        <v>4889</v>
      </c>
    </row>
    <row r="245" spans="17:43" ht="60">
      <c r="Q245" s="99" t="s">
        <v>4768</v>
      </c>
      <c r="R245" s="95">
        <v>50000000</v>
      </c>
      <c r="T245" s="22" t="s">
        <v>4470</v>
      </c>
      <c r="V245" s="224"/>
      <c r="AH245" s="20">
        <v>49</v>
      </c>
      <c r="AI245" s="20" t="s">
        <v>4976</v>
      </c>
      <c r="AJ245" s="117">
        <v>1100000</v>
      </c>
      <c r="AK245" s="20">
        <v>1</v>
      </c>
      <c r="AL245" s="20">
        <f t="shared" si="50"/>
        <v>47</v>
      </c>
      <c r="AM245" s="20">
        <f t="shared" si="51"/>
        <v>51700000</v>
      </c>
      <c r="AN245" s="20"/>
    </row>
    <row r="246" spans="17:43" ht="45">
      <c r="Q246" s="99" t="s">
        <v>4837</v>
      </c>
      <c r="R246" s="95">
        <v>68656</v>
      </c>
      <c r="T246" s="22" t="s">
        <v>4471</v>
      </c>
      <c r="AH246" s="20">
        <v>50</v>
      </c>
      <c r="AI246" s="20" t="s">
        <v>4978</v>
      </c>
      <c r="AJ246" s="117">
        <v>450000</v>
      </c>
      <c r="AK246" s="20">
        <v>0</v>
      </c>
      <c r="AL246" s="20">
        <f t="shared" si="50"/>
        <v>46</v>
      </c>
      <c r="AM246" s="20">
        <f t="shared" si="51"/>
        <v>20700000</v>
      </c>
      <c r="AN246" s="20"/>
    </row>
    <row r="247" spans="17:43">
      <c r="Q247" s="99" t="s">
        <v>4851</v>
      </c>
      <c r="R247" s="95">
        <v>4000236</v>
      </c>
      <c r="AH247" s="149">
        <v>51</v>
      </c>
      <c r="AI247" s="149" t="s">
        <v>4978</v>
      </c>
      <c r="AJ247" s="189">
        <v>550000</v>
      </c>
      <c r="AK247" s="149">
        <v>1</v>
      </c>
      <c r="AL247" s="149">
        <f t="shared" si="50"/>
        <v>46</v>
      </c>
      <c r="AM247" s="149">
        <f t="shared" si="51"/>
        <v>25300000</v>
      </c>
      <c r="AN247" s="149"/>
    </row>
    <row r="248" spans="17:43">
      <c r="Q248" s="99" t="s">
        <v>4851</v>
      </c>
      <c r="R248" s="95">
        <v>2250000</v>
      </c>
      <c r="AH248" s="149">
        <v>52</v>
      </c>
      <c r="AI248" s="149" t="s">
        <v>4980</v>
      </c>
      <c r="AJ248" s="189">
        <v>1000000</v>
      </c>
      <c r="AK248" s="149">
        <v>8</v>
      </c>
      <c r="AL248" s="149">
        <f t="shared" si="50"/>
        <v>45</v>
      </c>
      <c r="AM248" s="149">
        <f t="shared" si="51"/>
        <v>45000000</v>
      </c>
      <c r="AN248" s="149"/>
    </row>
    <row r="249" spans="17:43">
      <c r="Q249" s="99" t="s">
        <v>4856</v>
      </c>
      <c r="R249" s="95">
        <v>-2512200</v>
      </c>
      <c r="T249" s="99" t="s">
        <v>4488</v>
      </c>
      <c r="U249" s="99" t="s">
        <v>4459</v>
      </c>
      <c r="V249" s="99" t="s">
        <v>953</v>
      </c>
      <c r="AH249" s="20">
        <v>53</v>
      </c>
      <c r="AI249" s="20" t="s">
        <v>4990</v>
      </c>
      <c r="AJ249" s="117">
        <v>-2668880</v>
      </c>
      <c r="AK249" s="20">
        <v>0</v>
      </c>
      <c r="AL249" s="20">
        <f t="shared" si="50"/>
        <v>37</v>
      </c>
      <c r="AM249" s="20">
        <f t="shared" si="51"/>
        <v>-98748560</v>
      </c>
      <c r="AN249" s="20" t="s">
        <v>4992</v>
      </c>
      <c r="AP249" t="s">
        <v>25</v>
      </c>
    </row>
    <row r="250" spans="17:43">
      <c r="Q250" s="99" t="s">
        <v>4865</v>
      </c>
      <c r="R250" s="95">
        <v>300000</v>
      </c>
      <c r="T250" s="95">
        <f>S189+R222+R267</f>
        <v>937739559</v>
      </c>
      <c r="U250" s="95">
        <f>R166</f>
        <v>1268704809</v>
      </c>
      <c r="V250" s="95">
        <f>U250-T250</f>
        <v>330965250</v>
      </c>
      <c r="Y250" t="s">
        <v>25</v>
      </c>
      <c r="AH250" s="149">
        <v>54</v>
      </c>
      <c r="AI250" s="149" t="s">
        <v>4990</v>
      </c>
      <c r="AJ250" s="189">
        <v>-1528620</v>
      </c>
      <c r="AK250" s="149">
        <v>0</v>
      </c>
      <c r="AL250" s="149">
        <f t="shared" si="50"/>
        <v>37</v>
      </c>
      <c r="AM250" s="149">
        <f t="shared" si="51"/>
        <v>-56558940</v>
      </c>
      <c r="AN250" s="149" t="s">
        <v>4992</v>
      </c>
    </row>
    <row r="251" spans="17:43">
      <c r="Q251" s="99" t="s">
        <v>981</v>
      </c>
      <c r="R251" s="95">
        <v>1100000</v>
      </c>
      <c r="Y251" t="s">
        <v>25</v>
      </c>
      <c r="AH251" s="20">
        <v>55</v>
      </c>
      <c r="AI251" s="20" t="s">
        <v>4990</v>
      </c>
      <c r="AJ251" s="117">
        <v>50000000</v>
      </c>
      <c r="AK251" s="20">
        <v>4</v>
      </c>
      <c r="AL251" s="20">
        <f t="shared" si="50"/>
        <v>37</v>
      </c>
      <c r="AM251" s="20">
        <f t="shared" si="51"/>
        <v>1850000000</v>
      </c>
      <c r="AN251" s="20"/>
    </row>
    <row r="252" spans="17:43">
      <c r="Q252" s="99" t="s">
        <v>4874</v>
      </c>
      <c r="R252" s="95">
        <v>890000</v>
      </c>
      <c r="AH252" s="20">
        <v>56</v>
      </c>
      <c r="AI252" s="20" t="s">
        <v>4997</v>
      </c>
      <c r="AJ252" s="117">
        <v>400000</v>
      </c>
      <c r="AK252" s="20">
        <v>4</v>
      </c>
      <c r="AL252" s="20">
        <f t="shared" ref="AL252:AL261" si="52">AK252+AL253</f>
        <v>33</v>
      </c>
      <c r="AM252" s="20">
        <f t="shared" ref="AM252:AM261" si="53">AJ252*AL252</f>
        <v>13200000</v>
      </c>
      <c r="AN252" s="20"/>
    </row>
    <row r="253" spans="17:43">
      <c r="Q253" s="99" t="s">
        <v>4898</v>
      </c>
      <c r="R253" s="95">
        <v>1000000</v>
      </c>
      <c r="AH253" s="20">
        <v>57</v>
      </c>
      <c r="AI253" s="20" t="s">
        <v>5015</v>
      </c>
      <c r="AJ253" s="117">
        <v>2000000</v>
      </c>
      <c r="AK253" s="20">
        <v>3</v>
      </c>
      <c r="AL253" s="20">
        <f t="shared" si="52"/>
        <v>29</v>
      </c>
      <c r="AM253" s="20">
        <f t="shared" si="53"/>
        <v>58000000</v>
      </c>
      <c r="AN253" s="20"/>
      <c r="AQ253" t="s">
        <v>25</v>
      </c>
    </row>
    <row r="254" spans="17:43">
      <c r="Q254" s="99" t="s">
        <v>4899</v>
      </c>
      <c r="R254" s="95">
        <v>45436311</v>
      </c>
      <c r="AH254" s="20">
        <v>58</v>
      </c>
      <c r="AI254" s="20" t="s">
        <v>5018</v>
      </c>
      <c r="AJ254" s="117">
        <v>100000</v>
      </c>
      <c r="AK254" s="20">
        <v>4</v>
      </c>
      <c r="AL254" s="20">
        <f t="shared" si="52"/>
        <v>26</v>
      </c>
      <c r="AM254" s="20">
        <f t="shared" si="53"/>
        <v>2600000</v>
      </c>
      <c r="AN254" s="20" t="s">
        <v>3891</v>
      </c>
    </row>
    <row r="255" spans="17:43">
      <c r="Q255" s="99" t="s">
        <v>4899</v>
      </c>
      <c r="R255" s="95">
        <v>-3500000</v>
      </c>
      <c r="T255" t="s">
        <v>25</v>
      </c>
      <c r="AH255" s="20">
        <v>59</v>
      </c>
      <c r="AI255" s="20" t="s">
        <v>5029</v>
      </c>
      <c r="AJ255" s="117">
        <v>100000</v>
      </c>
      <c r="AK255" s="20">
        <v>7</v>
      </c>
      <c r="AL255" s="20">
        <f t="shared" si="52"/>
        <v>22</v>
      </c>
      <c r="AM255" s="20">
        <f t="shared" si="53"/>
        <v>2200000</v>
      </c>
      <c r="AN255" s="20"/>
    </row>
    <row r="256" spans="17:43">
      <c r="Q256" s="99" t="s">
        <v>4916</v>
      </c>
      <c r="R256" s="95">
        <v>2520000</v>
      </c>
      <c r="T256" t="s">
        <v>25</v>
      </c>
      <c r="AH256" s="20">
        <v>60</v>
      </c>
      <c r="AI256" s="20" t="s">
        <v>5046</v>
      </c>
      <c r="AJ256" s="117">
        <v>50000</v>
      </c>
      <c r="AK256" s="20">
        <v>0</v>
      </c>
      <c r="AL256" s="20">
        <f t="shared" si="52"/>
        <v>15</v>
      </c>
      <c r="AM256" s="20">
        <f t="shared" si="53"/>
        <v>750000</v>
      </c>
      <c r="AN256" s="20"/>
    </row>
    <row r="257" spans="17:45">
      <c r="Q257" s="99" t="s">
        <v>4953</v>
      </c>
      <c r="R257" s="95">
        <v>4900000</v>
      </c>
      <c r="AH257" s="149">
        <v>61</v>
      </c>
      <c r="AI257" s="149" t="s">
        <v>5046</v>
      </c>
      <c r="AJ257" s="189">
        <v>50000</v>
      </c>
      <c r="AK257" s="149">
        <v>3</v>
      </c>
      <c r="AL257" s="149">
        <f t="shared" si="52"/>
        <v>15</v>
      </c>
      <c r="AM257" s="149">
        <f t="shared" si="53"/>
        <v>750000</v>
      </c>
      <c r="AN257" s="149"/>
    </row>
    <row r="258" spans="17:45">
      <c r="Q258" s="99" t="s">
        <v>4976</v>
      </c>
      <c r="R258" s="95">
        <v>1150000</v>
      </c>
      <c r="T258" t="s">
        <v>25</v>
      </c>
      <c r="AH258" s="20">
        <v>62</v>
      </c>
      <c r="AI258" s="20" t="s">
        <v>5051</v>
      </c>
      <c r="AJ258" s="117">
        <v>50000</v>
      </c>
      <c r="AK258" s="20">
        <v>0</v>
      </c>
      <c r="AL258" s="20">
        <f t="shared" si="52"/>
        <v>12</v>
      </c>
      <c r="AM258" s="20">
        <f t="shared" si="53"/>
        <v>600000</v>
      </c>
      <c r="AN258" s="20"/>
    </row>
    <row r="259" spans="17:45">
      <c r="Q259" s="99" t="s">
        <v>4925</v>
      </c>
      <c r="R259" s="95">
        <v>250000</v>
      </c>
      <c r="T259" t="s">
        <v>25</v>
      </c>
      <c r="AH259" s="196">
        <v>63</v>
      </c>
      <c r="AI259" s="196" t="s">
        <v>5051</v>
      </c>
      <c r="AJ259" s="197">
        <v>50000</v>
      </c>
      <c r="AK259" s="196">
        <v>2</v>
      </c>
      <c r="AL259" s="196">
        <f t="shared" si="52"/>
        <v>12</v>
      </c>
      <c r="AM259" s="196">
        <f t="shared" si="53"/>
        <v>600000</v>
      </c>
      <c r="AN259" s="196"/>
    </row>
    <row r="260" spans="17:45">
      <c r="Q260" s="99" t="s">
        <v>5024</v>
      </c>
      <c r="R260" s="95">
        <v>1403460</v>
      </c>
      <c r="AH260" s="20">
        <v>64</v>
      </c>
      <c r="AI260" s="20" t="s">
        <v>5061</v>
      </c>
      <c r="AJ260" s="117">
        <v>25000</v>
      </c>
      <c r="AK260" s="20">
        <v>0</v>
      </c>
      <c r="AL260" s="20">
        <f t="shared" si="52"/>
        <v>10</v>
      </c>
      <c r="AM260" s="20">
        <f t="shared" si="53"/>
        <v>250000</v>
      </c>
      <c r="AN260" s="20"/>
    </row>
    <row r="261" spans="17:45">
      <c r="Q261" s="99" t="s">
        <v>5029</v>
      </c>
      <c r="R261" s="95">
        <v>200000</v>
      </c>
      <c r="AH261" s="149">
        <v>65</v>
      </c>
      <c r="AI261" s="149" t="s">
        <v>5061</v>
      </c>
      <c r="AJ261" s="189">
        <v>35000</v>
      </c>
      <c r="AK261" s="149">
        <v>7</v>
      </c>
      <c r="AL261" s="149">
        <f t="shared" si="52"/>
        <v>10</v>
      </c>
      <c r="AM261" s="149">
        <f t="shared" si="53"/>
        <v>350000</v>
      </c>
      <c r="AN261" s="149"/>
    </row>
    <row r="262" spans="17:45">
      <c r="Q262" s="99" t="s">
        <v>5036</v>
      </c>
      <c r="R262" s="95">
        <v>345000</v>
      </c>
      <c r="T262" t="s">
        <v>25</v>
      </c>
      <c r="AH262" s="149">
        <v>66</v>
      </c>
      <c r="AI262" s="149" t="s">
        <v>5074</v>
      </c>
      <c r="AJ262" s="189">
        <v>30000000</v>
      </c>
      <c r="AK262" s="149">
        <v>0</v>
      </c>
      <c r="AL262" s="149">
        <f t="shared" ref="AL262:AL285" si="54">AK262+AL263</f>
        <v>3</v>
      </c>
      <c r="AM262" s="149">
        <f t="shared" ref="AM262:AM285" si="55">AJ262*AL262</f>
        <v>90000000</v>
      </c>
      <c r="AN262" s="149"/>
    </row>
    <row r="263" spans="17:45">
      <c r="Q263" s="99" t="s">
        <v>5042</v>
      </c>
      <c r="R263" s="95">
        <v>900000</v>
      </c>
      <c r="T263" t="s">
        <v>25</v>
      </c>
      <c r="AH263" s="20">
        <v>67</v>
      </c>
      <c r="AI263" s="20" t="s">
        <v>5074</v>
      </c>
      <c r="AJ263" s="117">
        <v>6800000</v>
      </c>
      <c r="AK263" s="20">
        <v>1</v>
      </c>
      <c r="AL263" s="20">
        <f t="shared" si="54"/>
        <v>3</v>
      </c>
      <c r="AM263" s="20">
        <f t="shared" si="55"/>
        <v>20400000</v>
      </c>
      <c r="AN263" s="20"/>
    </row>
    <row r="264" spans="17:45">
      <c r="Q264" s="99" t="s">
        <v>5046</v>
      </c>
      <c r="R264" s="95">
        <v>372517</v>
      </c>
      <c r="AH264" s="20">
        <v>68</v>
      </c>
      <c r="AI264" s="20" t="s">
        <v>5086</v>
      </c>
      <c r="AJ264" s="117">
        <v>500000</v>
      </c>
      <c r="AK264" s="20">
        <v>1</v>
      </c>
      <c r="AL264" s="20">
        <f t="shared" si="54"/>
        <v>2</v>
      </c>
      <c r="AM264" s="20">
        <f t="shared" si="55"/>
        <v>1000000</v>
      </c>
      <c r="AN264" s="20"/>
    </row>
    <row r="265" spans="17:45">
      <c r="Q265" s="99" t="s">
        <v>5058</v>
      </c>
      <c r="R265" s="95">
        <v>6489257</v>
      </c>
      <c r="T265" t="s">
        <v>25</v>
      </c>
      <c r="AH265" s="20">
        <v>69</v>
      </c>
      <c r="AI265" s="20" t="s">
        <v>5095</v>
      </c>
      <c r="AJ265" s="117">
        <v>850000</v>
      </c>
      <c r="AK265" s="20">
        <v>1</v>
      </c>
      <c r="AL265" s="20">
        <f t="shared" si="54"/>
        <v>1</v>
      </c>
      <c r="AM265" s="20">
        <f t="shared" si="55"/>
        <v>850000</v>
      </c>
      <c r="AN265" s="20"/>
    </row>
    <row r="266" spans="17:45">
      <c r="Q266" s="99"/>
      <c r="R266" s="95"/>
      <c r="T266" t="s">
        <v>25</v>
      </c>
      <c r="AH266" s="20"/>
      <c r="AI266" s="20"/>
      <c r="AJ266" s="117"/>
      <c r="AK266" s="20"/>
      <c r="AL266" s="20">
        <f t="shared" si="54"/>
        <v>0</v>
      </c>
      <c r="AM266" s="20">
        <f t="shared" si="55"/>
        <v>0</v>
      </c>
      <c r="AN266" s="20"/>
    </row>
    <row r="267" spans="17:45">
      <c r="Q267" s="99"/>
      <c r="R267" s="95">
        <f>SUM(R227:R266)</f>
        <v>431673179</v>
      </c>
      <c r="Y267" t="s">
        <v>25</v>
      </c>
      <c r="AH267" s="20"/>
      <c r="AI267" s="20"/>
      <c r="AJ267" s="117"/>
      <c r="AK267" s="20"/>
      <c r="AL267" s="20">
        <f t="shared" si="54"/>
        <v>0</v>
      </c>
      <c r="AM267" s="20">
        <f t="shared" si="55"/>
        <v>0</v>
      </c>
      <c r="AN267" s="20"/>
      <c r="AS267" t="s">
        <v>25</v>
      </c>
    </row>
    <row r="268" spans="17:45">
      <c r="Q268" s="99"/>
      <c r="R268" s="99" t="s">
        <v>6</v>
      </c>
      <c r="AH268" s="20"/>
      <c r="AI268" s="20"/>
      <c r="AJ268" s="117"/>
      <c r="AK268" s="20"/>
      <c r="AL268" s="20">
        <f t="shared" si="54"/>
        <v>0</v>
      </c>
      <c r="AM268" s="20">
        <f t="shared" si="55"/>
        <v>0</v>
      </c>
      <c r="AN268" s="20"/>
    </row>
    <row r="269" spans="17:45">
      <c r="T269" t="s">
        <v>25</v>
      </c>
      <c r="AH269" s="20"/>
      <c r="AI269" s="20"/>
      <c r="AJ269" s="117"/>
      <c r="AK269" s="20"/>
      <c r="AL269" s="20">
        <f t="shared" si="54"/>
        <v>0</v>
      </c>
      <c r="AM269" s="20">
        <f t="shared" si="55"/>
        <v>0</v>
      </c>
      <c r="AN269" s="20"/>
    </row>
    <row r="270" spans="17:45">
      <c r="T270" t="s">
        <v>25</v>
      </c>
      <c r="AH270" s="20"/>
      <c r="AI270" s="20"/>
      <c r="AJ270" s="117"/>
      <c r="AK270" s="20"/>
      <c r="AL270" s="20">
        <f t="shared" si="54"/>
        <v>0</v>
      </c>
      <c r="AM270" s="20">
        <f t="shared" si="55"/>
        <v>0</v>
      </c>
      <c r="AN270" s="20"/>
    </row>
    <row r="271" spans="17:45">
      <c r="T271" t="s">
        <v>25</v>
      </c>
      <c r="AH271" s="20"/>
      <c r="AI271" s="20"/>
      <c r="AJ271" s="117"/>
      <c r="AK271" s="20"/>
      <c r="AL271" s="20">
        <f t="shared" si="54"/>
        <v>0</v>
      </c>
      <c r="AM271" s="20">
        <f t="shared" si="55"/>
        <v>0</v>
      </c>
      <c r="AN271" s="20"/>
      <c r="AR271" t="s">
        <v>25</v>
      </c>
    </row>
    <row r="272" spans="17:45">
      <c r="AH272" s="20"/>
      <c r="AI272" s="20"/>
      <c r="AJ272" s="117"/>
      <c r="AK272" s="20"/>
      <c r="AL272" s="20">
        <f t="shared" si="54"/>
        <v>0</v>
      </c>
      <c r="AM272" s="20">
        <f t="shared" si="55"/>
        <v>0</v>
      </c>
      <c r="AN272" s="20"/>
    </row>
    <row r="273" spans="18:40">
      <c r="AH273" s="20"/>
      <c r="AI273" s="20"/>
      <c r="AJ273" s="117"/>
      <c r="AK273" s="20"/>
      <c r="AL273" s="20">
        <f t="shared" si="54"/>
        <v>0</v>
      </c>
      <c r="AM273" s="20">
        <f t="shared" si="55"/>
        <v>0</v>
      </c>
      <c r="AN273" s="20"/>
    </row>
    <row r="274" spans="18:40">
      <c r="AH274" s="20"/>
      <c r="AI274" s="20"/>
      <c r="AJ274" s="117"/>
      <c r="AK274" s="20"/>
      <c r="AL274" s="20">
        <f t="shared" si="54"/>
        <v>0</v>
      </c>
      <c r="AM274" s="20">
        <f t="shared" si="55"/>
        <v>0</v>
      </c>
      <c r="AN274" s="20"/>
    </row>
    <row r="275" spans="18:40">
      <c r="AH275" s="20"/>
      <c r="AI275" s="20"/>
      <c r="AJ275" s="117"/>
      <c r="AK275" s="20"/>
      <c r="AL275" s="20">
        <f t="shared" si="54"/>
        <v>0</v>
      </c>
      <c r="AM275" s="20">
        <f t="shared" si="55"/>
        <v>0</v>
      </c>
      <c r="AN275" s="20"/>
    </row>
    <row r="276" spans="18:40">
      <c r="R276" t="s">
        <v>25</v>
      </c>
      <c r="AH276" s="20"/>
      <c r="AI276" s="20"/>
      <c r="AJ276" s="117"/>
      <c r="AK276" s="20"/>
      <c r="AL276" s="20">
        <f t="shared" si="54"/>
        <v>0</v>
      </c>
      <c r="AM276" s="20">
        <f t="shared" si="55"/>
        <v>0</v>
      </c>
      <c r="AN276" s="20"/>
    </row>
    <row r="277" spans="18:40">
      <c r="AH277" s="20"/>
      <c r="AI277" s="20"/>
      <c r="AJ277" s="117"/>
      <c r="AK277" s="20"/>
      <c r="AL277" s="20">
        <f t="shared" si="54"/>
        <v>0</v>
      </c>
      <c r="AM277" s="20">
        <f t="shared" si="55"/>
        <v>0</v>
      </c>
      <c r="AN277" s="20"/>
    </row>
    <row r="278" spans="18:40">
      <c r="AH278" s="20"/>
      <c r="AI278" s="20"/>
      <c r="AJ278" s="117"/>
      <c r="AK278" s="20"/>
      <c r="AL278" s="20">
        <f t="shared" si="54"/>
        <v>0</v>
      </c>
      <c r="AM278" s="20">
        <f t="shared" si="55"/>
        <v>0</v>
      </c>
      <c r="AN278" s="20"/>
    </row>
    <row r="279" spans="18:40">
      <c r="AH279" s="20"/>
      <c r="AI279" s="20"/>
      <c r="AJ279" s="117"/>
      <c r="AK279" s="20"/>
      <c r="AL279" s="20">
        <f t="shared" si="54"/>
        <v>0</v>
      </c>
      <c r="AM279" s="20">
        <f t="shared" si="55"/>
        <v>0</v>
      </c>
      <c r="AN279" s="20"/>
    </row>
    <row r="280" spans="18:40">
      <c r="AH280" s="20"/>
      <c r="AI280" s="20"/>
      <c r="AJ280" s="117"/>
      <c r="AK280" s="20"/>
      <c r="AL280" s="20">
        <f t="shared" si="54"/>
        <v>0</v>
      </c>
      <c r="AM280" s="20">
        <f t="shared" si="55"/>
        <v>0</v>
      </c>
      <c r="AN280" s="20"/>
    </row>
    <row r="281" spans="18:40">
      <c r="AH281" s="20"/>
      <c r="AI281" s="20"/>
      <c r="AJ281" s="117"/>
      <c r="AK281" s="20"/>
      <c r="AL281" s="20">
        <f t="shared" si="54"/>
        <v>0</v>
      </c>
      <c r="AM281" s="20">
        <f t="shared" si="55"/>
        <v>0</v>
      </c>
      <c r="AN281" s="20"/>
    </row>
    <row r="282" spans="18:40">
      <c r="AH282" s="20"/>
      <c r="AI282" s="20"/>
      <c r="AJ282" s="117"/>
      <c r="AK282" s="20"/>
      <c r="AL282" s="20">
        <f t="shared" si="54"/>
        <v>0</v>
      </c>
      <c r="AM282" s="20">
        <f t="shared" si="55"/>
        <v>0</v>
      </c>
      <c r="AN282" s="20"/>
    </row>
    <row r="283" spans="18:40">
      <c r="AH283" s="20"/>
      <c r="AI283" s="20"/>
      <c r="AJ283" s="117"/>
      <c r="AK283" s="20"/>
      <c r="AL283" s="20">
        <f t="shared" si="54"/>
        <v>0</v>
      </c>
      <c r="AM283" s="20">
        <f t="shared" si="55"/>
        <v>0</v>
      </c>
      <c r="AN283" s="20"/>
    </row>
    <row r="284" spans="18:40">
      <c r="AH284" s="99"/>
      <c r="AI284" s="99"/>
      <c r="AJ284" s="117"/>
      <c r="AK284" s="99"/>
      <c r="AL284" s="20">
        <f t="shared" si="54"/>
        <v>0</v>
      </c>
      <c r="AM284" s="20">
        <f t="shared" si="55"/>
        <v>0</v>
      </c>
      <c r="AN284" s="20"/>
    </row>
    <row r="285" spans="18:40">
      <c r="AH285" s="99"/>
      <c r="AI285" s="99"/>
      <c r="AJ285" s="117"/>
      <c r="AK285" s="99"/>
      <c r="AL285" s="99">
        <f t="shared" si="54"/>
        <v>0</v>
      </c>
      <c r="AM285" s="99">
        <f t="shared" si="55"/>
        <v>0</v>
      </c>
      <c r="AN285" s="99"/>
    </row>
    <row r="286" spans="18:40">
      <c r="AH286" s="99"/>
      <c r="AI286" s="99"/>
      <c r="AJ286" s="95">
        <f>SUM(AJ197:AJ285)</f>
        <v>396429598</v>
      </c>
      <c r="AK286" s="99"/>
      <c r="AL286" s="99"/>
      <c r="AM286" s="99">
        <f>SUM(AM197:AM285)</f>
        <v>38435766325</v>
      </c>
      <c r="AN286" s="95">
        <f>AM286*AN183/31</f>
        <v>20664803.785121776</v>
      </c>
    </row>
    <row r="287" spans="18:40">
      <c r="AJ287" t="s">
        <v>4059</v>
      </c>
      <c r="AM287" t="s">
        <v>284</v>
      </c>
      <c r="AN287" t="s">
        <v>943</v>
      </c>
    </row>
    <row r="289" spans="16:40">
      <c r="AI289" t="s">
        <v>4061</v>
      </c>
      <c r="AJ289" s="114">
        <f>AJ286+AN286</f>
        <v>417094401.7851218</v>
      </c>
    </row>
    <row r="290" spans="16:40">
      <c r="AI290" t="s">
        <v>4064</v>
      </c>
      <c r="AJ290" s="114">
        <f>SUM(N20:N27)</f>
        <v>516839775.5</v>
      </c>
    </row>
    <row r="291" spans="16:40">
      <c r="P291" t="s">
        <v>25</v>
      </c>
      <c r="AI291" t="s">
        <v>4136</v>
      </c>
      <c r="AJ291" s="114">
        <f>AJ290-AJ286</f>
        <v>120410177.5</v>
      </c>
    </row>
    <row r="292" spans="16:40">
      <c r="AI292" t="s">
        <v>943</v>
      </c>
      <c r="AJ292" s="114">
        <f>AN286</f>
        <v>20664803.785121776</v>
      </c>
    </row>
    <row r="293" spans="16:40">
      <c r="AI293" t="s">
        <v>4065</v>
      </c>
      <c r="AJ293" s="114">
        <f>AJ291-AJ292</f>
        <v>99745373.714878231</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048576 G108:G111 G113 G93:G100 G102">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5 S97 S106 S116 S36 G116 S111 S121 S127 S104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E118" zoomScale="90" zoomScaleNormal="90" workbookViewId="0">
      <selection activeCell="N137" sqref="N13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5102</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117">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52" t="s">
        <v>5098</v>
      </c>
      <c r="J132" s="253">
        <f t="shared" si="19"/>
        <v>1064287</v>
      </c>
      <c r="K132" s="252" t="s">
        <v>5095</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5102</v>
      </c>
      <c r="L133" s="84">
        <v>722822288</v>
      </c>
      <c r="M133" s="84">
        <v>429606125</v>
      </c>
      <c r="N133" s="117">
        <f t="shared" si="30"/>
        <v>1152428413</v>
      </c>
      <c r="O133" s="113">
        <f t="shared" si="28"/>
        <v>7171787</v>
      </c>
      <c r="P133" s="113">
        <f t="shared" si="29"/>
        <v>19795599</v>
      </c>
      <c r="Q133" s="230">
        <v>0</v>
      </c>
    </row>
    <row r="134" spans="9:19">
      <c r="I134" s="214"/>
      <c r="J134" s="113">
        <f t="shared" si="19"/>
        <v>21458282</v>
      </c>
      <c r="K134" s="214" t="s">
        <v>5103</v>
      </c>
      <c r="L134" s="84">
        <v>744280570</v>
      </c>
      <c r="M134" s="84">
        <v>440002399</v>
      </c>
      <c r="N134" s="35">
        <f t="shared" si="30"/>
        <v>1184282969</v>
      </c>
      <c r="O134" s="113">
        <f t="shared" si="28"/>
        <v>10396274</v>
      </c>
      <c r="P134" s="113">
        <f t="shared" si="29"/>
        <v>31854556</v>
      </c>
      <c r="Q134" s="230">
        <v>0</v>
      </c>
    </row>
    <row r="135" spans="9:19">
      <c r="I135" s="214"/>
      <c r="J135" s="113">
        <f t="shared" si="19"/>
        <v>-744280570</v>
      </c>
      <c r="K135" s="214"/>
      <c r="L135" s="84"/>
      <c r="M135" s="84"/>
      <c r="N135" s="113">
        <f t="shared" si="30"/>
        <v>0</v>
      </c>
      <c r="O135" s="113">
        <f t="shared" si="28"/>
        <v>-440002399</v>
      </c>
      <c r="P135" s="113">
        <f t="shared" si="29"/>
        <v>-1184282969</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59" t="s">
        <v>1089</v>
      </c>
      <c r="R21" s="259"/>
      <c r="S21" s="259"/>
      <c r="T21" s="259"/>
      <c r="U21" s="96"/>
      <c r="V21" s="96"/>
      <c r="W21" s="96"/>
      <c r="X21" s="96"/>
      <c r="Y21" s="96"/>
      <c r="Z21" s="96"/>
    </row>
    <row r="22" spans="5:35">
      <c r="O22" s="99"/>
      <c r="P22" s="99"/>
      <c r="Q22" s="259"/>
      <c r="R22" s="259"/>
      <c r="S22" s="259"/>
      <c r="T22" s="259"/>
      <c r="U22" s="96"/>
      <c r="V22" s="96"/>
      <c r="W22" s="96"/>
      <c r="X22" s="96"/>
      <c r="Y22" s="96"/>
      <c r="Z22" s="96"/>
    </row>
    <row r="23" spans="5:35" ht="15.75">
      <c r="O23" s="178"/>
      <c r="P23" s="99" t="s">
        <v>4086</v>
      </c>
      <c r="Q23" s="260" t="s">
        <v>1090</v>
      </c>
      <c r="R23" s="261" t="s">
        <v>1091</v>
      </c>
      <c r="S23" s="260" t="s">
        <v>1092</v>
      </c>
      <c r="T23" s="262" t="s">
        <v>1093</v>
      </c>
      <c r="AD23" t="s">
        <v>25</v>
      </c>
    </row>
    <row r="24" spans="5:35">
      <c r="O24" s="99"/>
      <c r="P24" s="99"/>
      <c r="Q24" s="260"/>
      <c r="R24" s="261"/>
      <c r="S24" s="260"/>
      <c r="T24" s="262"/>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2019-06-16T09:06:51Z</dcterms:modified>
</cp:coreProperties>
</file>