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19" i="18" l="1"/>
  <c r="N34" i="18"/>
  <c r="S30" i="18" l="1"/>
  <c r="Q79" i="18" l="1"/>
  <c r="P77" i="18"/>
  <c r="P81" i="18"/>
  <c r="S72" i="18"/>
  <c r="R69" i="18"/>
  <c r="S29" i="18" l="1"/>
  <c r="U28" i="18" l="1"/>
  <c r="AC15" i="33" l="1"/>
  <c r="N28" i="18"/>
  <c r="Q35" i="18" s="1"/>
  <c r="K176" i="20" l="1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175" i="20" l="1"/>
  <c r="K175" i="20"/>
  <c r="I174" i="20"/>
  <c r="J174" i="20"/>
  <c r="I175" i="20"/>
  <c r="N52" i="18"/>
  <c r="B196" i="13" l="1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l="1"/>
  <c r="G25" i="45"/>
  <c r="H30" i="45" s="1"/>
  <c r="B24" i="45"/>
  <c r="D2" i="45"/>
  <c r="D24" i="45" s="1"/>
  <c r="I2" i="45"/>
  <c r="I25" i="45" s="1"/>
  <c r="S12" i="44"/>
  <c r="R12" i="44"/>
  <c r="Q12" i="44"/>
  <c r="I30" i="45" l="1"/>
  <c r="H3" i="44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E245" i="15" l="1"/>
  <c r="N18" i="33" l="1"/>
  <c r="G18" i="33"/>
  <c r="H18" i="33"/>
  <c r="K18" i="33"/>
  <c r="L18" i="33"/>
  <c r="E244" i="15"/>
  <c r="C18" i="33" l="1"/>
  <c r="B18" i="33"/>
  <c r="E18" i="33"/>
  <c r="I18" i="33"/>
  <c r="D18" i="33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U17" i="33" s="1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E242" i="15" l="1"/>
  <c r="J50" i="33" l="1"/>
  <c r="J48" i="33"/>
  <c r="J47" i="33"/>
  <c r="L50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B23" i="33" s="1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<sst xmlns="http://schemas.openxmlformats.org/spreadsheetml/2006/main" count="8567" uniqueCount="4093">
  <si>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</si>
  <si>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</si>
  <si>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</si>
  <si>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</si>
  <si>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</si>
  <si>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</si>
  <si>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</si>
  <si>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</si>
  <si>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</si>
  <si>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</si>
  <si>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</si>
  <si>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</si>
  <si>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</si>
  <si>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</si>
  <si>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</si>
  <si>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</si>
  <si>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</si>
  <si>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</si>
  <si>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</si>
  <si>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</si>
  <si>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</si>
  <si>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</si>
  <si>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</si>
  <si>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</si>
  <si>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</si>
  <si>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</si>
  <si>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</si>
  <si>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</si>
  <si>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</si>
  <si>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</si>
  <si>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</si>
  <si>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</si>
  <si>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</si>
  <si>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</si>
  <si>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</si>
  <si>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</si>
  <si>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</si>
  <si>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</si>
  <si>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</si>
  <si>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</si>
  <si>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</si>
  <si>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</si>
  <si>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</si>
  <si>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</si>
  <si>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</si>
  <si>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</si>
  <si>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</si>
  <si>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</si>
  <si>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</si>
  <si>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</si>
  <si>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</si>
  <si>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</si>
  <si>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</si>
  <si>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</si>
  <si>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</si>
  <si>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</si>
  <si>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</si>
  <si>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</si>
  <si>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</si>
  <si>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</si>
  <si>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</si>
  <si>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</si>
  <si>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</si>
  <si>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</si>
  <si>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</si>
  <si>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</si>
  <si>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</si>
  <si>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</si>
  <si>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</si>
  <si>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</si>
  <si>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</si>
  <si>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</si>
  <si>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</si>
  <si>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</si>
  <si>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</si>
  <si>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</si>
  <si>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</si>
  <si>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</si>
  <si>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</si>
  <si>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</si>
  <si>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</si>
  <si>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</si>
  <si>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</si>
  <si>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</si>
  <si>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</si>
  <si>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</si>
  <si>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</si>
  <si>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</si>
  <si>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</si>
  <si>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</si>
  <si>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</si>
  <si>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</si>
  <si>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</si>
  <si>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</si>
  <si>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</si>
  <si>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</si>
  <si>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</si>
  <si>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</si>
  <si>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</si>
  <si>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</si>
  <si>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</si>
  <si>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</si>
  <si>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</si>
  <si>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</si>
  <si>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</si>
  <si>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</si>
  <si>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</si>
  <si>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</si>
  <si>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</si>
  <si>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</si>
  <si>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</si>
  <si>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</si>
  <si>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</si>
  <si>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</si>
  <si>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</si>
  <si>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</si>
  <si>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</si>
  <si>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</si>
  <si>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</si>
  <si>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</si>
  <si>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</si>
  <si>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</si>
  <si>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</si>
  <si>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</si>
  <si>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</si>
  <si>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</si>
  <si>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</si>
  <si>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</si>
  <si>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</si>
  <si>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</si>
  <si>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</si>
  <si>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</si>
  <si>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</si>
  <si>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</si>
  <si>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</si>
  <si>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</si>
  <si>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</si>
  <si>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</si>
  <si>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</si>
  <si>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</si>
  <si>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</si>
  <si>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</si>
  <si>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</si>
  <si>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</si>
  <si>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</si>
  <si>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</si>
  <si>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</si>
  <si>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</si>
  <si>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</si>
  <si>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</si>
  <si>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</si>
  <si>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</si>
  <si>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</si>
  <si>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</si>
  <si>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</si>
  <si>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</si>
  <si>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</si>
  <si>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</si>
  <si>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</si>
  <si>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</si>
  <si>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</si>
  <si>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</si>
  <si>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</si>
  <si>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</si>
  <si>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</si>
  <si>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</si>
  <si>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</si>
  <si>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</si>
  <si>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</si>
  <si>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</si>
  <si>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</si>
  <si>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</si>
  <si>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</si>
  <si>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</si>
  <si>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</si>
  <si>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</si>
  <si>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</si>
  <si>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</si>
  <si>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</si>
  <si>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</si>
  <si>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</si>
  <si>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</si>
  <si>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</si>
  <si>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</si>
  <si>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</si>
  <si>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</si>
  <si>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</si>
  <si>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</si>
  <si>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</si>
  <si>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</si>
  <si>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</si>
  <si>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</si>
  <si>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</si>
  <si>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</si>
  <si>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</si>
  <si>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</si>
  <si>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</si>
  <si>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</si>
  <si>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</si>
  <si>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</si>
  <si>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</si>
  <si>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</si>
  <si>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</si>
  <si>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</si>
  <si>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</si>
  <si>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</si>
  <si>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</si>
  <si>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</si>
  <si>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</si>
  <si>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</si>
  <si>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</si>
  <si>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</si>
  <si>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</si>
  <si>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</si>
  <si>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</si>
  <si>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</si>
  <si>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</si>
  <si>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</si>
  <si>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</si>
  <si>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</si>
  <si>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</si>
  <si>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</si>
  <si>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</si>
  <si>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</si>
  <si>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</si>
  <si>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</si>
  <si>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</si>
  <si>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</si>
  <si>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</si>
  <si>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</si>
  <si>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</si>
  <si>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</si>
  <si>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</si>
  <si>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</si>
  <si>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</si>
  <si>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</si>
  <si>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</si>
  <si>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</si>
  <si>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</si>
  <si>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</si>
  <si>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</si>
  <si>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</si>
  <si>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</si>
  <si>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</si>
  <si>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</si>
  <si>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</si>
  <si>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</si>
  <si>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</si>
  <si>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</si>
  <si>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</si>
  <si>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</si>
  <si>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</si>
  <si>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</si>
  <si>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</si>
  <si>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</si>
  <si>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</si>
  <si>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</si>
  <si>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</si>
  <si>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</si>
  <si>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</si>
  <si>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</si>
  <si>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</si>
  <si>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</si>
  <si>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</si>
  <si>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</si>
  <si>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</si>
  <si>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</si>
  <si>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</si>
  <si>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</si>
  <si>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</si>
  <si>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</si>
  <si>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</si>
  <si>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</si>
  <si>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</si>
  <si>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</si>
  <si>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</si>
  <si>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</si>
  <si>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</si>
  <si>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</si>
  <si>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</si>
  <si>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</si>
  <si>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</si>
  <si>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</si>
  <si>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</si>
  <si>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</si>
  <si>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</si>
  <si>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</si>
  <si>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</si>
  <si>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</si>
  <si>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</si>
  <si>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</si>
  <si>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</si>
  <si>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</si>
  <si>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</si>
  <si>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</si>
  <si>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</si>
  <si>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</si>
  <si>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</si>
  <si>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</si>
  <si>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</si>
  <si>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</si>
  <si>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</si>
  <si>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</si>
  <si>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</si>
  <si>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</si>
  <si>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</si>
  <si>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</si>
  <si>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</si>
  <si>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</si>
  <si>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</si>
  <si>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</si>
  <si>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</si>
  <si>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</si>
  <si>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</si>
  <si>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</si>
  <si>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</si>
  <si>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</si>
  <si>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</si>
  <si>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</si>
  <si>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</si>
  <si>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</si>
  <si>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</si>
  <si>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</si>
  <si>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</si>
  <si>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</si>
  <si>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</si>
  <si>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</si>
  <si>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</si>
  <si>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</si>
  <si>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</si>
  <si>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</si>
  <si>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</si>
  <si>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</si>
  <si>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</si>
  <si>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</si>
  <si>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</si>
  <si>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</si>
  <si>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</si>
  <si>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</si>
  <si>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</si>
  <si>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</si>
  <si>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</si>
  <si>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</si>
  <si>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</si>
  <si>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</si>
  <si>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</si>
  <si>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</si>
  <si>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</si>
  <si>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</si>
  <si>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</si>
  <si>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</si>
  <si>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</si>
  <si>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</si>
  <si>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</si>
  <si>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</si>
  <si>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</si>
  <si>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</si>
  <si>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</si>
  <si>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</si>
  <si>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</si>
  <si>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</si>
  <si>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</si>
  <si>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</si>
  <si>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</si>
  <si>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</si>
  <si>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</si>
  <si>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</si>
  <si>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</si>
  <si>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</si>
  <si>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</si>
  <si>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</si>
  <si>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</si>
  <si>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</si>
  <si>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</si>
  <si>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</si>
  <si>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</si>
  <si>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</si>
  <si>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</si>
  <si>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</si>
  <si>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</si>
  <si>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</si>
  <si>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</si>
  <si>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</si>
  <si>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</si>
  <si>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</si>
  <si>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</si>
  <si>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</si>
  <si>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</si>
  <si>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</si>
  <si>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</si>
  <si>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</si>
  <si>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</si>
  <si>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</si>
  <si>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</si>
  <si>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</si>
  <si>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</si>
  <si>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</si>
  <si>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</si>
  <si>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</si>
  <si>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</si>
  <si>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</si>
  <si>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</si>
  <si>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</si>
  <si>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</si>
  <si>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</si>
  <si>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</si>
  <si>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</si>
  <si>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</si>
  <si>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</si>
  <si>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</si>
  <si>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</si>
  <si>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</si>
  <si>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</si>
  <si>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</si>
  <si>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</si>
  <si>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</si>
  <si>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</si>
  <si>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</si>
  <si>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</si>
  <si>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</si>
  <si>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</si>
  <si>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</si>
  <si>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</si>
  <si>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</si>
  <si>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</si>
  <si>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</si>
  <si>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</si>
  <si>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</si>
  <si>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</si>
  <si>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</si>
  <si>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</si>
  <si>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</si>
  <si>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</si>
  <si>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</si>
  <si>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</si>
  <si>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</si>
  <si>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</si>
  <si>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</si>
  <si>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</si>
  <si>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</si>
  <si>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</si>
  <si>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</si>
  <si>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</si>
  <si>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</si>
  <si>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</si>
  <si>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</si>
  <si>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</si>
  <si>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</si>
  <si>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</si>
  <si>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</si>
  <si>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</si>
  <si>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</si>
  <si>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</si>
  <si>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</si>
  <si>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</si>
  <si>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</si>
  <si>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</si>
  <si>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</si>
  <si>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</si>
  <si>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</si>
  <si>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</si>
  <si>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</si>
  <si>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</si>
  <si>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</si>
  <si>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</si>
  <si>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</si>
  <si>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</si>
  <si>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</si>
  <si>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</si>
  <si>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</si>
  <si>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</si>
  <si>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</si>
  <si>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</si>
  <si>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</si>
  <si>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</si>
  <si>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</si>
  <si>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</si>
  <si>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</si>
  <si>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</si>
  <si>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</si>
  <si>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</si>
  <si>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</si>
  <si>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</si>
  <si>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</si>
  <si>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</si>
  <si>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</si>
  <si>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</si>
  <si>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</si>
  <si>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</si>
  <si>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</si>
  <si>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</si>
  <si>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</si>
  <si>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</si>
  <si>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</si>
  <si>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</si>
  <si>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</si>
  <si>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</si>
  <si>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</si>
  <si>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</si>
  <si>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</si>
  <si>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</si>
  <si>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</si>
  <si>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</si>
  <si>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</si>
  <si>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</si>
  <si>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</si>
  <si>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</si>
  <si>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</si>
  <si>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</si>
  <si>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</si>
  <si>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</si>
  <si>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</si>
  <si>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</si>
  <si>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</si>
  <si>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</si>
  <si>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</si>
  <si>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</si>
  <si>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</si>
  <si>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</si>
  <si>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</si>
  <si>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</si>
  <si>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</si>
  <si>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</si>
  <si>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</si>
  <si>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</si>
  <si>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</si>
  <si>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</si>
  <si>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</si>
  <si>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</si>
  <si>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</si>
  <si>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</si>
  <si>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</si>
  <si>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</si>
  <si>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</si>
  <si>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</si>
  <si>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</si>
  <si>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</si>
  <si>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</si>
  <si>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</si>
  <si>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</si>
  <si>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</si>
  <si>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</si>
  <si>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</si>
  <si>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</si>
  <si>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</si>
  <si>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</si>
  <si>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</si>
  <si>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</si>
  <si>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</si>
  <si>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</si>
  <si>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</si>
  <si>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</si>
  <si>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</si>
  <si>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</si>
  <si>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</si>
  <si>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</si>
  <si>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</si>
  <si>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</si>
  <si>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</si>
  <si>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</si>
  <si>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</si>
  <si>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</si>
  <si>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</si>
  <si>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</si>
  <si>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</si>
  <si>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</si>
  <si>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</si>
  <si>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</si>
  <si>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</si>
  <si>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</si>
  <si>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</si>
  <si>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</si>
  <si>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</si>
  <si>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</si>
  <si>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</si>
  <si>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</si>
  <si>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</si>
  <si>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</si>
  <si>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</si>
  <si>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</si>
  <si>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</si>
  <si>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</si>
  <si>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</si>
  <si>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</si>
  <si>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</si>
  <si>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</si>
  <si>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</si>
  <si>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</si>
  <si>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</si>
  <si>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</si>
  <si>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</si>
  <si>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</si>
  <si>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</si>
  <si>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</si>
  <si>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</si>
  <si>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</si>
  <si>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</si>
  <si>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</si>
  <si>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</si>
  <si>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</si>
  <si>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</si>
  <si>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</si>
  <si>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</si>
  <si>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</si>
  <si>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</si>
  <si>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</si>
  <si>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</si>
  <si>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</si>
  <si>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</si>
  <si>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</si>
  <si>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</si>
  <si>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</si>
  <si>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</si>
  <si>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</si>
  <si>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</si>
  <si>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</si>
  <si>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</si>
  <si>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</si>
  <si>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</si>
  <si>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</si>
  <si>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</si>
  <si>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</si>
  <si>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</si>
  <si>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</si>
  <si>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</si>
  <si>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</si>
  <si>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</si>
  <si>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</si>
  <si>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</si>
  <si>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</si>
  <si>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</si>
  <si>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</si>
  <si>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</si>
  <si>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</si>
  <si>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</si>
  <si>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</si>
  <si>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</si>
  <si>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</si>
  <si>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</si>
  <si>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</si>
  <si>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</si>
  <si>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</si>
  <si>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</si>
  <si>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</si>
  <si>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</si>
  <si>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</si>
  <si>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</si>
  <si>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</si>
  <si>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</si>
  <si>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</si>
  <si>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</si>
  <si>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</si>
  <si>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</si>
  <si>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</si>
  <si>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</si>
  <si>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</si>
  <si>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</si>
  <si>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</si>
  <si>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</si>
  <si>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</si>
  <si>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</si>
  <si>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</si>
  <si>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</si>
  <si>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</si>
  <si>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</si>
  <si>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</si>
  <si>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</si>
  <si>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</si>
  <si>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</si>
  <si>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</si>
  <si>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</si>
  <si>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</si>
  <si>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</si>
  <si>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</si>
  <si>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</si>
  <si>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</si>
  <si>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</si>
  <si>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</si>
  <si>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</si>
  <si>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</si>
  <si>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</si>
  <si>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</si>
  <si>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</si>
  <si>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</si>
  <si>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</si>
  <si>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</si>
  <si>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</si>
  <si>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</si>
  <si>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</si>
  <si>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</si>
  <si>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</si>
  <si>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</si>
  <si>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</si>
  <si>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</si>
  <si>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</si>
  <si>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</si>
  <si>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</si>
  <si>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</si>
  <si>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</si>
  <si>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</si>
  <si>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</si>
  <si>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</si>
  <si>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</si>
  <si>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</si>
  <si>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</si>
  <si>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</si>
  <si>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</si>
  <si>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</si>
  <si>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</si>
  <si>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</si>
  <si>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</si>
  <si>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</si>
  <si>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</si>
  <si>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</si>
  <si>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</si>
  <si>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</si>
  <si>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</si>
  <si>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</si>
  <si>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</si>
  <si>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</si>
  <si>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</si>
  <si>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</si>
  <si>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</si>
  <si>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</si>
  <si>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</si>
  <si>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</si>
  <si>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</si>
  <si>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</si>
  <si>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</si>
  <si>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</si>
  <si>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</si>
  <si>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</si>
  <si>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</si>
  <si>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</si>
  <si>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</si>
  <si>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</si>
  <si>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</si>
  <si>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</si>
  <si>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</si>
  <si>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</si>
  <si>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</si>
  <si>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</si>
  <si>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</si>
  <si>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</si>
  <si>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</si>
  <si>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</si>
  <si>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</si>
  <si>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</si>
  <si>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</si>
  <si>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</si>
  <si>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</si>
  <si>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</si>
  <si>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</si>
  <si>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</si>
  <si>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</si>
  <si>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</si>
  <si>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</si>
  <si>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</si>
  <si>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</si>
  <si>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</si>
  <si>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</si>
  <si>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</si>
  <si>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</si>
  <si>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</si>
  <si>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</si>
  <si>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</si>
  <si>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</si>
  <si>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</si>
  <si>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</si>
  <si>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</si>
  <si>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</si>
  <si>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</si>
  <si>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</si>
  <si>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</si>
  <si>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</si>
  <si>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</si>
  <si>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</si>
  <si>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</si>
  <si>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</si>
  <si>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</si>
  <si>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</si>
  <si>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</si>
  <si>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</si>
  <si>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</si>
  <si>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</si>
  <si>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</si>
  <si>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</si>
  <si>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</si>
  <si>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</si>
  <si>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</si>
  <si>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</si>
  <si>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</si>
  <si>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</si>
  <si>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</si>
  <si>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</si>
  <si>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</si>
  <si>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</si>
  <si>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</si>
  <si>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</si>
  <si>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</si>
  <si>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</si>
  <si>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</si>
  <si>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</si>
  <si>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</si>
  <si>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</si>
  <si>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</si>
  <si>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</si>
  <si>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</si>
  <si>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</si>
  <si>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</si>
  <si>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</si>
  <si>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</si>
  <si>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</si>
  <si>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</si>
  <si>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</si>
  <si>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</si>
  <si>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</si>
  <si>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</si>
  <si>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</si>
  <si>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</si>
  <si>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</si>
  <si>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</si>
  <si>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</si>
  <si>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</si>
  <si>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</si>
  <si>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</si>
  <si>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</si>
  <si>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</si>
  <si>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</si>
  <si>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</si>
  <si>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</si>
  <si>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</si>
  <si>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</si>
  <si>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</si>
  <si>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</si>
  <si>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</si>
  <si>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</si>
  <si>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</si>
  <si>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</si>
  <si>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</si>
  <si>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</si>
  <si>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</si>
  <si>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</si>
  <si>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</si>
  <si>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</si>
  <si>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</si>
  <si>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</si>
  <si>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</si>
  <si>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</si>
  <si>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</si>
  <si>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</si>
  <si>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</si>
  <si>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</si>
  <si>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</si>
  <si>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</si>
  <si>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</si>
  <si>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</si>
  <si>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</si>
  <si>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</si>
  <si>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</si>
  <si>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</si>
  <si>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</si>
  <si>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</si>
  <si>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</si>
  <si>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</si>
  <si>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</si>
  <si>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</si>
  <si>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</si>
  <si>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</si>
  <si>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</si>
  <si>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</si>
  <si>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</si>
  <si>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</si>
  <si>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</si>
  <si>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</si>
  <si>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</si>
  <si>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</si>
  <si>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</si>
  <si>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</si>
  <si>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</si>
  <si>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</si>
  <si>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</si>
  <si>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</si>
  <si>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</si>
  <si>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</si>
  <si>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</si>
  <si>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</si>
  <si>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</si>
  <si>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</si>
  <si>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</si>
  <si>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</si>
  <si>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</si>
  <si>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</si>
  <si>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</si>
  <si>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</si>
  <si>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</si>
  <si>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</si>
  <si>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</si>
  <si>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</si>
  <si>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</si>
  <si>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</si>
  <si>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</si>
  <si>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</si>
  <si>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</si>
  <si>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</si>
  <si>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</si>
  <si>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</si>
  <si>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</si>
  <si>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</si>
  <si>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</si>
  <si>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</si>
  <si>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</si>
  <si>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</si>
  <si>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</si>
  <si>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</si>
  <si>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</si>
  <si>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</si>
  <si>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</si>
  <si>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</si>
  <si>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</si>
  <si>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</si>
  <si>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</si>
  <si>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</si>
  <si>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</si>
  <si>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</si>
  <si>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</si>
  <si>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</si>
  <si>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</si>
  <si>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</si>
  <si>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</si>
  <si>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</si>
  <si>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</si>
  <si>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</si>
  <si>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</si>
  <si>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</si>
  <si>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</si>
  <si>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</si>
  <si>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</si>
  <si>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</si>
  <si>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</si>
  <si>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</si>
  <si>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</si>
  <si>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</si>
  <si>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</si>
  <si>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</si>
  <si>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</si>
  <si>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</si>
  <si>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</si>
  <si>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</si>
  <si>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</si>
  <si>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</si>
  <si>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</si>
  <si>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</si>
  <si>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</si>
  <si>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</si>
  <si>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</si>
  <si>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</si>
  <si>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</si>
  <si>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</si>
  <si>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</si>
  <si>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</si>
  <si>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</si>
  <si>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</si>
  <si>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</si>
  <si>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</si>
  <si>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</si>
  <si>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</si>
  <si>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</si>
  <si>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</si>
  <si>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</si>
  <si>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</si>
  <si>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</si>
  <si>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</si>
  <si>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</si>
  <si>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</si>
  <si>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</si>
  <si>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</si>
  <si>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</si>
  <si>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</si>
  <si>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</si>
  <si>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</si>
  <si>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</si>
  <si>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</si>
  <si>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</si>
  <si>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</si>
  <si>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</si>
  <si>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</si>
  <si>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</si>
  <si>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</si>
  <si>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</si>
  <si>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</si>
  <si>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</si>
  <si>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</si>
  <si>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</si>
  <si>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</si>
  <si>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</si>
  <si>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</si>
  <si>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</si>
  <si>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</si>
  <si>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</si>
  <si>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</si>
  <si>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</si>
  <si>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</si>
  <si>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</si>
  <si>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</si>
  <si>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</si>
  <si>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</si>
  <si>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</si>
  <si>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</si>
  <si>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</si>
  <si>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</si>
  <si>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</si>
  <si>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</si>
  <si>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</si>
  <si>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</si>
  <si>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</si>
  <si>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</si>
  <si>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</si>
  <si>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</si>
  <si>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</si>
  <si>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</si>
  <si>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</si>
  <si>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</si>
  <si>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</si>
  <si>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</si>
  <si>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</si>
  <si>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</si>
  <si>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</si>
  <si>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</si>
  <si>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</si>
  <si>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</si>
  <si>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</si>
  <si>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</si>
  <si>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</si>
  <si>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</si>
  <si>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</si>
  <si>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</si>
  <si>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</si>
  <si>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</si>
  <si>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</si>
  <si>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</si>
  <si>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</si>
  <si>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</si>
  <si>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</si>
  <si>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</si>
  <si>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</si>
  <si>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</si>
  <si>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</si>
  <si>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</si>
  <si>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</si>
  <si>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</si>
  <si>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</si>
  <si>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</si>
  <si>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</si>
  <si>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</si>
  <si>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</si>
  <si>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</si>
  <si>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</si>
  <si>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</si>
  <si>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</si>
  <si>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</si>
  <si>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</si>
  <si>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</si>
  <si>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</si>
  <si>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</si>
  <si>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</si>
  <si>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</si>
  <si>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</si>
  <si>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</si>
  <si>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</si>
  <si>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</si>
  <si>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</si>
  <si>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</si>
  <si>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</si>
  <si>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</si>
  <si>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</si>
  <si>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</si>
  <si>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</si>
  <si>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</si>
  <si>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</si>
  <si>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</si>
  <si>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</si>
  <si>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</si>
  <si>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</si>
  <si>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</si>
  <si>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</si>
  <si>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</si>
  <si>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</si>
  <si>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</si>
  <si>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</si>
  <si>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</si>
  <si>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</si>
  <si>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</si>
  <si>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</si>
  <si>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</si>
  <si>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</si>
  <si>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</si>
  <si>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</si>
  <si>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</si>
  <si>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</si>
  <si>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</si>
  <si>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</si>
  <si>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</si>
  <si>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</si>
  <si>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</si>
  <si>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</si>
  <si>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</si>
  <si>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</si>
  <si>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</si>
  <si>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</si>
  <si>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</si>
  <si>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</si>
  <si>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</si>
  <si>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</si>
  <si>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</si>
  <si>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</si>
  <si>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</si>
  <si>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</si>
  <si>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</si>
  <si>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</si>
  <si>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</si>
  <si>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</si>
  <si>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</si>
  <si>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</si>
  <si>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</si>
  <si>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</si>
  <si>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</si>
  <si>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</si>
  <si>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</si>
  <si>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</si>
  <si>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</si>
  <si>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</si>
  <si>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</si>
  <si>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</si>
  <si>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</si>
  <si>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</si>
  <si>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</si>
  <si>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</si>
  <si>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</si>
  <si>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</si>
  <si>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</si>
  <si>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</si>
  <si>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</si>
  <si>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</si>
  <si>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</si>
  <si>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</si>
  <si>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</si>
  <si>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</si>
  <si>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</si>
  <si>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</si>
  <si>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</si>
  <si>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</si>
  <si>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</si>
  <si>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</si>
  <si>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</si>
  <si>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</si>
  <si>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</si>
  <si>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</si>
  <si>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</si>
  <si>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</si>
  <si>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</si>
  <si>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</si>
  <si>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</si>
  <si>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</si>
  <si>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</si>
  <si>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</si>
  <si>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</si>
  <si>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</si>
  <si>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</si>
  <si>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</si>
  <si>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</si>
  <si>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</si>
  <si>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</si>
  <si>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</si>
  <si>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</si>
  <si>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</si>
  <si>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</si>
  <si>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</si>
  <si>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</si>
  <si>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</si>
  <si>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</si>
  <si>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</si>
  <si>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</si>
  <si>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</si>
  <si>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</si>
  <si>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</si>
  <si>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</si>
  <si>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</si>
  <si>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</si>
  <si>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</si>
  <si>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</si>
  <si>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</si>
  <si>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</si>
  <si>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</si>
  <si>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</si>
  <si>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</si>
  <si>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</si>
  <si>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</si>
  <si>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</si>
  <si>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</si>
  <si>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</si>
  <si>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</si>
  <si>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</si>
  <si>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</si>
  <si>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</si>
  <si>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</si>
  <si>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</si>
  <si>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</si>
  <si>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</si>
  <si>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</si>
  <si>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</si>
  <si>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</si>
  <si>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</si>
  <si>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</si>
  <si>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</si>
  <si>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</si>
  <si>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</si>
  <si>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</si>
  <si>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</si>
  <si>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</si>
  <si>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</si>
  <si>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</si>
  <si>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</si>
  <si>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</si>
  <si>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</si>
  <si>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</si>
  <si>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</si>
  <si>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</si>
  <si>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</si>
  <si>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</si>
  <si>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</si>
  <si>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</si>
  <si>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</si>
  <si>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</si>
  <si>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</si>
  <si>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</si>
  <si>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</si>
  <si>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</si>
  <si>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</si>
  <si>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</si>
  <si>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</si>
  <si>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</si>
  <si>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</si>
  <si>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</si>
  <si>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</si>
  <si>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</si>
  <si>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</si>
  <si>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</si>
  <si>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</si>
  <si>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</si>
  <si>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</si>
  <si>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</si>
  <si>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</si>
  <si>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</si>
  <si>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</si>
  <si>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</si>
  <si>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</si>
  <si>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</si>
  <si>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</si>
  <si>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</si>
  <si>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</si>
  <si>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</si>
  <si>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</si>
  <si>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</si>
  <si>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</si>
  <si>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</si>
  <si>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</si>
  <si>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</si>
  <si>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</si>
  <si>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</si>
  <si>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</si>
  <si>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</si>
  <si>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</si>
  <si>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</si>
  <si>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</si>
  <si>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</si>
  <si>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</si>
  <si>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</si>
  <si>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</si>
  <si>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</si>
  <si>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</si>
  <si>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</si>
  <si>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</si>
  <si>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</si>
  <si>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</si>
  <si>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</si>
  <si>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</si>
  <si>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</si>
  <si>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</si>
  <si>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</si>
  <si>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</si>
  <si>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</si>
  <si>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</si>
  <si>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</si>
  <si>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</si>
  <si>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</si>
  <si>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</si>
  <si>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</si>
  <si>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</si>
  <si>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</si>
  <si>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</si>
  <si>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</si>
  <si>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</si>
  <si>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</si>
  <si>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</si>
  <si>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</si>
  <si>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</si>
  <si>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</si>
  <si>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</si>
  <si>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</si>
  <si>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</si>
  <si>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</si>
  <si>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</si>
  <si>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</si>
  <si>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</si>
  <si>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</si>
  <si>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</si>
  <si>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</si>
  <si>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</si>
  <si>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</si>
  <si>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</si>
  <si>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</si>
  <si>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</si>
  <si>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</si>
  <si>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</si>
  <si>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</si>
  <si>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</si>
  <si>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</si>
  <si>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</si>
  <si>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</si>
  <si>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</si>
  <si>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</si>
  <si>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</si>
  <si>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</si>
  <si>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</si>
  <si>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</si>
  <si>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</si>
  <si>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</si>
  <si>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</si>
  <si>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</si>
  <si>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</si>
  <si>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</si>
  <si>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</si>
  <si>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</si>
  <si>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</si>
  <si>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</si>
  <si>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</si>
  <si>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</si>
  <si>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</si>
  <si>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</si>
  <si>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</si>
  <si>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</si>
  <si>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</si>
  <si>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</si>
  <si>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</si>
  <si>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</si>
  <si>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</si>
  <si>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</si>
  <si>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</si>
  <si>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</si>
  <si>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</si>
  <si>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</si>
  <si>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</si>
  <si>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</si>
  <si>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</si>
  <si>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</si>
  <si>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</si>
  <si>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</si>
  <si>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</si>
  <si>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</si>
  <si>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</si>
  <si>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</si>
  <si>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</si>
  <si>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</si>
  <si>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</si>
  <si>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</si>
  <si>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</si>
  <si>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</si>
  <si>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</si>
  <si>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</si>
  <si>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</si>
  <si>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</si>
  <si>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</si>
  <si>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</si>
  <si>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</si>
  <si>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</si>
  <si>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</si>
  <si>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</si>
  <si>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</si>
  <si>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</si>
  <si>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</si>
  <si>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</si>
  <si>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</si>
  <si>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</si>
  <si>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</si>
  <si>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</si>
  <si>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</si>
  <si>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</si>
  <si>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</si>
  <si>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</si>
  <si>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</si>
  <si>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</si>
  <si>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</si>
  <si>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</si>
  <si>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</si>
  <si>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</si>
  <si>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</si>
  <si>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</si>
  <si>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</si>
  <si>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</si>
  <si>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</si>
  <si>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</si>
  <si>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</si>
  <si>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</si>
  <si>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</si>
  <si>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</si>
  <si>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</si>
  <si>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</si>
  <si>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</si>
  <si>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</si>
  <si>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</si>
  <si>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</si>
  <si>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</si>
  <si>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</si>
  <si>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</si>
  <si>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</si>
  <si>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</si>
  <si>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</si>
  <si>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</si>
  <si>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</si>
  <si>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</si>
  <si>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</si>
  <si>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</si>
  <si>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</si>
  <si>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</si>
  <si>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</si>
  <si>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</si>
  <si>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</si>
  <si>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</si>
  <si>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</si>
  <si>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</si>
  <si>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</si>
  <si>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</si>
  <si>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</si>
  <si>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</si>
  <si>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</si>
  <si>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</si>
  <si>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</si>
  <si>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</si>
  <si>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</si>
  <si>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</si>
  <si>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</si>
  <si>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</si>
  <si>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</si>
  <si>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</si>
  <si>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</si>
  <si>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</si>
  <si>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</si>
  <si>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</si>
  <si>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</si>
  <si>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</si>
  <si>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</si>
  <si>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</si>
  <si>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</si>
  <si>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</si>
  <si>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</si>
  <si>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</si>
  <si>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</si>
  <si>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</si>
  <si>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</si>
  <si>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</si>
  <si>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</si>
  <si>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</si>
  <si>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</si>
  <si>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</si>
  <si>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</si>
  <si>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</si>
  <si>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</si>
  <si>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</si>
  <si>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</si>
  <si>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</si>
  <si>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</si>
  <si>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</si>
  <si>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</si>
  <si>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</si>
  <si>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</si>
  <si>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</si>
  <si>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</si>
  <si>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</si>
  <si>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</si>
  <si>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</si>
  <si>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</si>
  <si>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</si>
  <si>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</si>
  <si>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</si>
  <si>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</si>
  <si>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</si>
  <si>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</si>
  <si>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</si>
  <si>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</si>
  <si>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</si>
  <si>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</si>
  <si>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</si>
  <si>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</si>
  <si>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</si>
  <si>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</si>
  <si>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</si>
  <si>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</si>
  <si>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</si>
  <si>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</si>
  <si>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</si>
  <si>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</si>
  <si>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</si>
  <si>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</si>
  <si>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</si>
  <si>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</si>
  <si>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</si>
  <si>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</si>
  <si>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</si>
  <si>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</si>
  <si>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</si>
  <si>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</si>
  <si>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</si>
  <si>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</si>
  <si>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</si>
  <si>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</si>
  <si>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</si>
  <si>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</si>
  <si>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</si>
  <si>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</si>
  <si>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</si>
  <si>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</si>
  <si>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</si>
  <si>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</si>
  <si>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</si>
  <si>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</si>
  <si>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</si>
  <si>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</si>
  <si>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</si>
  <si>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</si>
  <si>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</si>
  <si>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</si>
  <si>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</si>
  <si>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</si>
  <si>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</si>
  <si>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</si>
  <si>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</si>
  <si>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</si>
  <si>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</si>
  <si>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</si>
  <si>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</si>
  <si>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</si>
  <si>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</si>
  <si>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</si>
  <si>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</si>
  <si>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</si>
  <si>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</si>
  <si>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</si>
  <si>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</si>
  <si>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</si>
  <si>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</si>
  <si>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</si>
  <si>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</si>
  <si>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</si>
  <si>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</si>
  <si>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</si>
  <si>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</si>
  <si>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</si>
  <si>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</si>
  <si>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</si>
  <si>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</si>
  <si>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</si>
  <si>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</si>
  <si>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</si>
  <si>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</si>
  <si>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</si>
  <si>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</si>
  <si>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</si>
  <si>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</si>
  <si>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</si>
  <si>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</si>
  <si>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</si>
  <si>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</si>
  <si>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</si>
  <si>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</si>
  <si>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</si>
  <si>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</si>
  <si>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</si>
  <si>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</si>
  <si>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</si>
  <si>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</si>
  <si>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</si>
  <si>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</si>
  <si>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</si>
  <si>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</si>
  <si>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</si>
  <si>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</si>
  <si>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</si>
  <si>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</si>
  <si>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</si>
  <si>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</si>
  <si>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</si>
  <si>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</si>
  <si>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</si>
  <si>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</si>
  <si>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</si>
  <si>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</si>
  <si>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</si>
  <si>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</si>
  <si>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</si>
  <si>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</si>
  <si>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</si>
  <si>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</si>
  <si>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</si>
  <si>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</si>
  <si>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</si>
  <si>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</si>
  <si>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</si>
  <si>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</si>
  <si>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</si>
  <si>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</si>
  <si>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</si>
  <si>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</si>
  <si>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</si>
  <si>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</si>
  <si>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</si>
  <si>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</si>
  <si>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</si>
  <si>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</si>
  <si>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</si>
  <si>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</si>
  <si>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</si>
  <si>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</si>
  <si>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</si>
  <si>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</si>
  <si>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</si>
  <si>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</si>
  <si>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</si>
  <si>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</si>
  <si>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</si>
  <si>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</si>
  <si>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</si>
  <si>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</si>
  <si>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</si>
  <si>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</si>
  <si>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</si>
  <si>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</si>
  <si>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</si>
  <si>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</si>
  <si>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</si>
  <si>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</si>
  <si>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</si>
  <si>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</si>
  <si>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</si>
  <si>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</si>
  <si>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</si>
  <si>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</si>
  <si>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</si>
  <si>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</si>
  <si>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</si>
  <si>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</si>
  <si>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</si>
  <si>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</si>
  <si>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</si>
  <si>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</si>
  <si>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</si>
  <si>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</si>
  <si>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</si>
  <si>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</si>
  <si>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</si>
  <si>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</si>
  <si>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</si>
  <si>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</si>
  <si>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</si>
  <si>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</si>
  <si>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</si>
  <si>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</si>
  <si>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</si>
  <si>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</si>
  <si>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</si>
  <si>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</si>
  <si>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</si>
  <si>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</si>
  <si>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</si>
  <si>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</si>
  <si>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</si>
  <si>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</si>
  <si>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</si>
  <si>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</si>
  <si>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</si>
  <si>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</si>
  <si>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</si>
  <si>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</si>
  <si>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</si>
  <si>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</si>
  <si>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</si>
  <si>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</si>
  <si>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</si>
  <si>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</si>
  <si>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</si>
  <si>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</si>
  <si>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</si>
  <si>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</si>
  <si>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</si>
  <si>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</si>
  <si>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</si>
  <si>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</si>
  <si>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</si>
  <si>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</si>
  <si>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</si>
  <si>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</si>
  <si>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</si>
  <si>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</si>
  <si>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</si>
  <si>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</si>
  <si>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</si>
  <si>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</si>
  <si>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</si>
  <si>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</si>
  <si>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</si>
  <si>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</si>
  <si>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</si>
  <si>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</si>
  <si>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</si>
  <si>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</si>
  <si>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</si>
  <si>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</si>
  <si>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</si>
  <si>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</si>
  <si>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</si>
  <si>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</si>
  <si>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</si>
  <si>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</si>
  <si>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</si>
  <si>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</si>
  <si>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</si>
  <si>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</si>
  <si>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</si>
  <si>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</si>
  <si>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</si>
  <si>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</si>
  <si>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</si>
  <si>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</si>
  <si>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</si>
  <si>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</si>
  <si>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</si>
  <si>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</si>
  <si>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</si>
  <si>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</si>
  <si>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</si>
  <si>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</si>
  <si>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</si>
  <si>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</si>
  <si>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</si>
  <si>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</si>
  <si>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</si>
  <si>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</si>
  <si>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</si>
  <si>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</si>
  <si>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</si>
  <si>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</si>
  <si>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</si>
  <si>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</si>
  <si>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</si>
  <si>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</si>
  <si>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</si>
  <si>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</si>
  <si>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</si>
  <si>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</si>
  <si>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</si>
  <si>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</si>
  <si>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</si>
  <si>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</si>
  <si>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</si>
  <si>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</si>
  <si>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</si>
  <si>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</si>
  <si>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</si>
  <si>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</si>
  <si>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</si>
  <si>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</si>
  <si>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</si>
  <si>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</si>
  <si>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</si>
  <si>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</si>
  <si>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</si>
  <si>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</si>
  <si>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</si>
  <si>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</si>
  <si>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</si>
  <si>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</si>
  <si>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</si>
  <si>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</si>
  <si>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</si>
  <si>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</si>
  <si>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</si>
  <si>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</si>
  <si>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</si>
  <si>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</si>
  <si>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</si>
  <si>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</si>
  <si>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</si>
  <si>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</si>
  <si>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</si>
  <si>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</si>
  <si>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</si>
  <si>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</si>
  <si>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</si>
  <si>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</si>
  <si>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</si>
  <si>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</si>
  <si>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</si>
  <si>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</si>
  <si>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</si>
  <si>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</si>
  <si>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</si>
  <si>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</si>
  <si>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</si>
  <si>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</si>
  <si>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</si>
  <si>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</si>
  <si>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</si>
  <si>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</si>
  <si>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</si>
  <si>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</si>
  <si>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</si>
  <si>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</si>
  <si>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</si>
  <si>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</si>
  <si>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</si>
  <si>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</si>
  <si>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</si>
  <si>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</si>
  <si>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</si>
  <si>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</si>
  <si>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</si>
  <si>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</si>
  <si>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</si>
  <si>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</si>
  <si>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</si>
  <si>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</si>
  <si>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</si>
  <si>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</si>
  <si>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</si>
  <si>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</si>
  <si>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</si>
  <si>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</si>
  <si>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</si>
  <si>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</si>
  <si>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</si>
  <si>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</si>
  <si>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</si>
  <si>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</si>
  <si>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</si>
  <si>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</si>
  <si>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</si>
  <si>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</si>
  <si>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</si>
  <si>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</si>
  <si>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</si>
  <si>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</si>
  <si>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</si>
  <si>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</si>
  <si>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</si>
  <si>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</si>
  <si>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</si>
  <si>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</si>
  <si>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</si>
  <si>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</si>
  <si>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</si>
  <si>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</si>
  <si>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</si>
  <si>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</si>
  <si>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</si>
  <si>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</si>
  <si>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</si>
  <si>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</si>
  <si>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</si>
  <si>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</si>
  <si>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</si>
  <si>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</si>
  <si>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</si>
  <si>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</si>
  <si>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</si>
  <si>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</si>
  <si>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</si>
  <si>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</si>
  <si>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</si>
  <si>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</si>
  <si>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</si>
  <si>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</si>
  <si>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</si>
  <si>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</si>
  <si>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</si>
  <si>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</si>
  <si>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</si>
  <si>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</si>
  <si>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</si>
  <si>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</si>
  <si>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</si>
  <si>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</si>
  <si>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</si>
  <si>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</si>
  <si>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</si>
  <si>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</si>
  <si>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</si>
  <si>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</si>
  <si>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</si>
  <si>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</si>
  <si>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</si>
  <si>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</si>
  <si>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</si>
  <si>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</si>
  <si>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</si>
  <si>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</si>
  <si>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</si>
  <si>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</si>
  <si>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</si>
  <si>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</si>
  <si>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</si>
  <si>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</si>
  <si>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</si>
  <si>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</si>
  <si>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</si>
  <si>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</si>
  <si>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</si>
  <si>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</si>
  <si>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</si>
  <si>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</si>
  <si>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</si>
  <si>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</si>
  <si>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</si>
  <si>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</si>
  <si>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</si>
  <si>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</si>
  <si>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</si>
  <si>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</si>
  <si>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</si>
  <si>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</si>
  <si>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</si>
  <si>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</si>
  <si>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</si>
  <si>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</si>
  <si>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</si>
  <si>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</si>
  <si>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</si>
  <si>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</si>
  <si>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</si>
  <si>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</si>
  <si>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</si>
  <si>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</si>
  <si>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</si>
  <si>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</si>
  <si>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</si>
  <si>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</si>
  <si>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</si>
  <si>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</si>
  <si>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</si>
  <si>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</si>
  <si>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</si>
  <si>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</si>
  <si>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</si>
  <si>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</si>
  <si>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</si>
  <si>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</si>
  <si>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</si>
  <si>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</si>
  <si>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</si>
  <si>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</si>
  <si>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</si>
  <si>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</si>
  <si>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</si>
  <si>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</si>
  <si>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</si>
  <si>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</si>
  <si>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</si>
  <si>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</si>
  <si>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</si>
  <si>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</si>
  <si>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</si>
  <si>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</si>
  <si>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</si>
  <si>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</si>
  <si>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</si>
  <si>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</si>
  <si>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</si>
  <si>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</si>
  <si>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</si>
  <si>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</si>
  <si>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</si>
  <si>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</si>
  <si>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</si>
  <si>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</si>
  <si>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</si>
  <si>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</si>
  <si>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</si>
  <si>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</si>
  <si>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</si>
  <si>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</si>
  <si>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</si>
  <si>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</si>
  <si>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</si>
  <si>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</si>
  <si>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</si>
  <si>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</si>
  <si>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</si>
  <si>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</si>
  <si>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</si>
  <si>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</si>
  <si>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</si>
  <si>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</si>
  <si>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</si>
  <si>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</si>
  <si>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</si>
  <si>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</si>
  <si>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</si>
  <si>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</si>
  <si>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</si>
  <si>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</si>
  <si>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</si>
  <si>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</si>
  <si>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</si>
  <si>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</si>
  <si>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</si>
  <si>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</si>
  <si>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</si>
  <si>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</si>
  <si>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</si>
  <si>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</si>
  <si>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</si>
  <si>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</si>
  <si>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</si>
  <si>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</si>
  <si>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</si>
  <si>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</si>
  <si>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</si>
  <si>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</si>
  <si>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</si>
  <si>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</si>
  <si>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</si>
  <si>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</si>
  <si>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</si>
  <si>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</si>
  <si>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</si>
  <si>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</si>
  <si>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</si>
  <si>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</si>
  <si>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</si>
  <si>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</si>
  <si>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</si>
  <si>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</si>
  <si>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</si>
  <si>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</si>
  <si>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</si>
  <si>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</si>
  <si>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</si>
  <si>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</si>
  <si>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</si>
  <si>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</si>
  <si>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</si>
  <si>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</si>
  <si>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</si>
  <si>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</si>
  <si>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</si>
  <si>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</si>
  <si>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</si>
  <si>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</si>
  <si>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</si>
  <si>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</si>
  <si>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</si>
  <si>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</si>
  <si>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</si>
  <si>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</si>
  <si>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</si>
  <si>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</si>
  <si>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</si>
  <si>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</si>
  <si>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</si>
  <si>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</si>
  <si>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</si>
  <si>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</si>
  <si>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</si>
  <si>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</si>
  <si>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</si>
  <si>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</si>
  <si>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</si>
  <si>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</si>
  <si>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</si>
  <si>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</si>
  <si>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</si>
  <si>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</si>
  <si>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</si>
  <si>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</si>
  <si>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</si>
  <si>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</si>
  <si>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</si>
  <si>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</si>
  <si>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</si>
  <si>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</si>
  <si>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</si>
  <si>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</si>
  <si>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</si>
  <si>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</si>
  <si>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</si>
  <si>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</si>
  <si>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</si>
  <si>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</si>
  <si>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</si>
  <si>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</si>
  <si>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</si>
  <si>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</si>
  <si>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</si>
  <si>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</si>
  <si>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</si>
  <si>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</si>
  <si>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</si>
  <si>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</si>
  <si>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</si>
  <si>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</si>
  <si>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</si>
  <si>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</si>
  <si>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</si>
  <si>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</si>
  <si>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</si>
  <si>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</si>
  <si>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</si>
  <si>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</si>
  <si>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</si>
  <si>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</si>
  <si>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</si>
  <si>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</si>
  <si>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</si>
  <si>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</si>
  <si>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</si>
  <si>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</si>
  <si>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</si>
  <si>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</si>
  <si>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</si>
  <si>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</si>
  <si>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</si>
  <si>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</si>
  <si>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</si>
  <si>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</si>
  <si>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</si>
  <si>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</si>
  <si>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</si>
  <si>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</si>
  <si>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</si>
  <si>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</si>
  <si>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</si>
  <si>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</si>
  <si>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</si>
  <si>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</si>
  <si>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</si>
  <si>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</si>
  <si>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</si>
  <si>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</si>
  <si>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</si>
  <si>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</si>
  <si>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</si>
  <si>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</si>
  <si>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</si>
  <si>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</si>
  <si>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</si>
  <si>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</si>
  <si>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</si>
  <si>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</si>
  <si>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</si>
  <si>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</si>
  <si>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</si>
  <si>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</si>
  <si>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</si>
  <si>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</si>
  <si>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</si>
  <si>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</si>
  <si>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</si>
  <si>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</si>
  <si>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</si>
  <si>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</si>
  <si>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</si>
  <si>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</si>
  <si>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</si>
  <si>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</si>
  <si>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</si>
  <si>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</si>
  <si>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</si>
  <si>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</si>
  <si>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</si>
  <si>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</si>
  <si>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</si>
  <si>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</si>
  <si>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</si>
  <si>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</si>
  <si>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</si>
  <si>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</si>
  <si>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</si>
  <si>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</si>
  <si>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</si>
  <si>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</si>
  <si>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</si>
  <si>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</si>
  <si>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</si>
  <si>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</si>
  <si>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</si>
  <si>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</si>
  <si>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</si>
  <si>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</si>
  <si>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</si>
  <si>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</si>
  <si>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</si>
  <si>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</si>
  <si>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</si>
  <si>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</si>
  <si>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</si>
  <si>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</si>
  <si>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</si>
  <si>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</si>
  <si>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</si>
  <si>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</si>
  <si>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</si>
  <si>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</si>
  <si>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</si>
  <si>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</si>
  <si>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</si>
  <si>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</si>
  <si>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</si>
  <si>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</si>
  <si>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</si>
  <si>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</si>
  <si>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</si>
  <si>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</si>
  <si>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</si>
  <si>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</si>
  <si>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</si>
  <si>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</si>
  <si>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</si>
  <si>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</si>
  <si>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</si>
  <si>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</si>
  <si>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</si>
  <si>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</si>
  <si>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</si>
  <si>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</si>
  <si>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</si>
  <si>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</si>
  <si>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</si>
  <si>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</si>
  <si>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</si>
  <si>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</si>
  <si>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</si>
  <si>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</si>
  <si>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</si>
  <si>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</si>
  <si>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</si>
  <si>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</si>
  <si>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</si>
  <si>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</si>
  <si>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</si>
  <si>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</si>
  <si>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</si>
  <si>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</si>
  <si>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</si>
  <si>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</si>
  <si>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</si>
  <si>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</si>
  <si>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</si>
  <si>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</si>
  <si>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</si>
  <si>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</si>
  <si>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</si>
  <si>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</si>
  <si>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</si>
  <si>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</si>
  <si>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</si>
  <si>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</si>
  <si>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</si>
  <si>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</si>
  <si>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</si>
  <si>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</si>
  <si>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</si>
  <si>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</si>
  <si>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</si>
  <si>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</si>
  <si>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</si>
  <si>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</si>
  <si>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</si>
  <si>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</si>
  <si>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</si>
  <si>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</si>
  <si>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</si>
  <si>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</si>
  <si>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</si>
  <si>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</si>
  <si>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</si>
  <si>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</si>
  <si>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</si>
  <si>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</si>
  <si>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</si>
  <si>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</si>
  <si>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</si>
  <si>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</si>
  <si>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</si>
  <si>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</si>
  <si>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</si>
  <si>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</si>
  <si>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</si>
  <si>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</si>
  <si>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</si>
  <si>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</si>
  <si>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</si>
  <si>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</si>
  <si>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</si>
  <si>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</si>
  <si>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</si>
  <si>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</si>
  <si>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</si>
  <si>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</si>
  <si>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</si>
  <si>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</si>
  <si>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</si>
  <si>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</si>
  <si>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</si>
  <si>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</si>
  <si>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</si>
  <si>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</si>
  <si>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</si>
  <si>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</si>
  <si>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</si>
  <si>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</si>
  <si>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</si>
  <si>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</si>
  <si>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</si>
  <si>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</si>
  <si>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</si>
  <si>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</si>
  <si>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</si>
  <si>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</si>
  <si>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</si>
  <si>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</si>
  <si>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</si>
  <si>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</si>
  <si>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</si>
  <si>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</si>
  <si>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</si>
  <si>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</si>
  <si>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</si>
  <si>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</si>
  <si>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</si>
  <si>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</si>
  <si>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</si>
  <si>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</si>
  <si>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</si>
  <si>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</si>
  <si>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</si>
  <si>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</si>
  <si>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</si>
  <si>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</si>
  <si>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</si>
  <si>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</si>
  <si>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</si>
  <si>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</si>
  <si>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</si>
  <si>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</si>
  <si>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</si>
  <si>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</si>
  <si>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</si>
  <si>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</si>
  <si>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</si>
  <si>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</si>
  <si>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</si>
  <si>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</si>
  <si>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</si>
  <si>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</si>
  <si>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</si>
  <si>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</si>
  <si>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</si>
  <si>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</si>
  <si>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</si>
  <si>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</si>
  <si>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</si>
  <si>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</si>
  <si>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</si>
  <si>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</si>
  <si>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</si>
  <si>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</si>
  <si>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</si>
  <si>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</si>
  <si>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</si>
  <si>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</si>
  <si>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</si>
  <si>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</si>
  <si>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</si>
  <si>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</si>
  <si>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</si>
  <si>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</si>
  <si>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</si>
  <si>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</si>
  <si>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</si>
  <si>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</si>
  <si>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</si>
  <si>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</si>
  <si>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</si>
  <si>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</si>
  <si>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</si>
  <si>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</si>
  <si>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</si>
  <si>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</si>
  <si>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</si>
  <si>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</si>
  <si>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</si>
  <si>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</si>
  <si>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</si>
  <si>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</si>
  <si>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</si>
  <si>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</si>
  <si>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</si>
  <si>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</si>
  <si>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</si>
  <si>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</si>
  <si>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</si>
  <si>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</si>
  <si>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</si>
  <si>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</si>
  <si>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</si>
  <si>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</si>
  <si>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</si>
  <si>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</si>
  <si>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</si>
  <si>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</si>
  <si>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</si>
  <si>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</si>
  <si>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</si>
  <si>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</si>
  <si>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</si>
  <si>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</si>
  <si>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</si>
  <si>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</si>
  <si>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</si>
  <si>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</si>
  <si>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</si>
  <si>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</si>
  <si>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</si>
  <si>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</si>
  <si>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</si>
  <si>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</si>
  <si>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</si>
  <si>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</si>
  <si>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</si>
  <si>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</si>
  <si>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</si>
  <si>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</si>
  <si>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</si>
  <si>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</si>
  <si>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</si>
  <si>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</si>
  <si>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</si>
  <si>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</si>
  <si>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</si>
  <si>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</si>
  <si>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</si>
  <si>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</si>
  <si>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</si>
  <si>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</si>
  <si>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</si>
  <si>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</si>
  <si>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</si>
  <si>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</si>
  <si>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</si>
  <si>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</si>
  <si>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</si>
  <si>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</si>
  <si>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</si>
  <si>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</si>
  <si>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</si>
  <si>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</si>
  <si>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</si>
  <si>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</si>
  <si>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</si>
  <si>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</si>
  <si>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</si>
  <si>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</si>
  <si>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</si>
  <si>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</si>
  <si>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</si>
  <si>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</si>
  <si>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</si>
  <si>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</si>
  <si>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</si>
  <si>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</si>
  <si>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</si>
  <si>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</si>
  <si>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</si>
  <si>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</si>
  <si>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</si>
  <si>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</si>
  <si>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</si>
  <si>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</si>
  <si>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</si>
  <si>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</si>
  <si>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</si>
  <si>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</si>
  <si>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</si>
  <si>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</si>
  <si>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</si>
  <si>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</si>
  <si>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</si>
  <si>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</si>
  <si>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</si>
  <si>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</si>
  <si>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</si>
  <si>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</si>
  <si>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</si>
  <si>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</si>
  <si>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</si>
  <si>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</si>
  <si>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</si>
  <si>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</si>
  <si>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</si>
  <si>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</si>
  <si>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</si>
  <si>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</si>
  <si>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</si>
  <si>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</si>
  <si>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</si>
  <si>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</si>
  <si>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</si>
  <si>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</si>
  <si>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</si>
  <si>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</si>
  <si>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</si>
  <si>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</si>
  <si>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</si>
  <si>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</si>
  <si>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</si>
  <si>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</si>
  <si>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</si>
  <si>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</si>
  <si>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</si>
  <si>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</si>
  <si>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</si>
  <si>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</si>
  <si>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</si>
  <si>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</si>
  <si>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</si>
  <si>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</si>
  <si>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</si>
  <si>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</si>
  <si>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</si>
  <si>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</si>
  <si>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</si>
  <si>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</si>
  <si>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</si>
  <si>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</si>
  <si>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</si>
  <si>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</si>
  <si>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</si>
  <si>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</si>
  <si>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</si>
  <si>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</si>
  <si>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</si>
  <si>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</si>
  <si>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</si>
  <si>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</si>
  <si>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</si>
  <si>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</si>
  <si>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</si>
  <si>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</si>
  <si>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</si>
  <si>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</si>
  <si>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</si>
  <si>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</si>
  <si>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</si>
  <si>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</si>
  <si>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</si>
  <si>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</si>
  <si>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</si>
  <si>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</si>
  <si>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</si>
  <si>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</si>
  <si>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</si>
  <si>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</si>
  <si>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</si>
  <si>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</si>
  <si>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</si>
  <si>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</si>
  <si>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</si>
  <si>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</si>
  <si>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</si>
  <si>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</si>
  <si>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</si>
  <si>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</si>
  <si>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</si>
  <si>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</si>
  <si>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</si>
  <si>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</si>
  <si>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</si>
  <si>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</si>
  <si>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</si>
  <si>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</si>
  <si>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</si>
  <si>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</si>
  <si>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</si>
  <si>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</si>
  <si>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</si>
  <si>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</si>
  <si>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</si>
  <si>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</si>
  <si>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</si>
  <si>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</si>
  <si>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</si>
  <si>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</si>
  <si>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</si>
  <si>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</si>
  <si>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</si>
  <si>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</si>
  <si>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</si>
  <si>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</si>
  <si>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</si>
  <si>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</si>
  <si>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</si>
  <si>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</si>
  <si>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</si>
  <si>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</si>
  <si>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</si>
  <si>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</si>
  <si>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</si>
  <si>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</si>
  <si>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</si>
  <si>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</si>
  <si>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</si>
  <si>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</si>
  <si>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</si>
  <si>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</si>
  <si>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</si>
  <si>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</si>
  <si>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</si>
  <si>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</si>
  <si>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</si>
  <si>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</si>
  <si>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</si>
  <si>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</si>
  <si>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</si>
  <si>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</si>
  <si>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</si>
  <si>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</si>
  <si>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</si>
  <si>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</si>
  <si>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</si>
  <si>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</si>
  <si>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</si>
  <si>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</si>
  <si>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</si>
  <si>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</si>
  <si>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</si>
  <si>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</si>
  <si>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</si>
  <si>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</si>
  <si>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</si>
  <si>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</si>
  <si>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</si>
  <si>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</si>
  <si>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</si>
  <si>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</si>
  <si>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</si>
  <si>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</si>
  <si>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</si>
  <si>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</si>
  <si>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</si>
  <si>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</si>
  <si>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</si>
  <si>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</si>
  <si>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</si>
  <si>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</si>
  <si>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</si>
  <si>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</si>
  <si>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</si>
  <si>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</si>
  <si>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</si>
  <si>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</si>
  <si>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</si>
  <si>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</si>
  <si>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</si>
  <si>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</si>
  <si>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</si>
  <si>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</si>
  <si>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</si>
  <si>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</si>
  <si>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</si>
  <si>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</si>
  <si>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</si>
  <si>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</si>
  <si>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</si>
  <si>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</si>
  <si>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</si>
  <si>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</si>
  <si>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</si>
  <si>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</si>
  <si>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</si>
  <si>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</si>
  <si>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</si>
  <si>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</si>
  <si>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</si>
  <si>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</si>
  <si>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</si>
  <si>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</si>
  <si>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</si>
  <si>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</si>
  <si>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</si>
  <si>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</si>
  <si>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</si>
  <si>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</si>
  <si>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</si>
  <si>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</si>
  <si>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</si>
  <si>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</si>
  <si>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</si>
  <si>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</si>
  <si>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</si>
  <si>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</si>
  <si>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</si>
  <si>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</si>
  <si>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</si>
  <si>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</si>
  <si>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</si>
  <si>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</si>
  <si>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</si>
  <si>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</si>
  <si>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</si>
  <si>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</si>
  <si>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</si>
  <si>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</si>
  <si>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</si>
  <si>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</si>
  <si>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</si>
  <si>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</si>
  <si>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</si>
  <si>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</si>
  <si>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</si>
  <si>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</si>
  <si>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</si>
  <si>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</si>
  <si>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</si>
  <si>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</si>
  <si>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</si>
  <si>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</si>
  <si>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</si>
  <si>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</si>
  <si>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</si>
  <si>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</si>
  <si>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</si>
  <si>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</si>
  <si>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</si>
  <si>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</si>
  <si>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</si>
  <si>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</si>
  <si>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</si>
  <si>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</si>
  <si>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</si>
  <si>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</si>
  <si>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</si>
  <si>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</si>
  <si>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</si>
  <si>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</si>
  <si>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</si>
  <si>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</si>
  <si>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</si>
  <si>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</si>
  <si>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</si>
  <si>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</si>
  <si>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</si>
  <si>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</si>
  <si>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</si>
  <si>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</si>
  <si>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</si>
  <si>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</si>
  <si>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</si>
  <si>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</si>
  <si>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</si>
  <si>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</si>
  <si>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</si>
  <si>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</si>
  <si>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</si>
  <si>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</si>
  <si>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</si>
  <si>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</si>
  <si>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</si>
  <si>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</si>
  <si>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</si>
  <si>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</si>
  <si>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</si>
  <si>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</si>
  <si>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</si>
  <si>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</si>
  <si>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</si>
  <si>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</si>
  <si>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</si>
  <si>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</si>
  <si>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</si>
  <si>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</si>
  <si>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</si>
  <si>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</si>
  <si>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</si>
  <si>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</si>
  <si>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</si>
  <si>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</si>
  <si>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</si>
  <si>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</si>
  <si>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</si>
  <si>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</si>
  <si>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</si>
  <si>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</si>
  <si>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</si>
  <si>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</si>
  <si>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</si>
  <si>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</si>
  <si>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</si>
  <si>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</si>
  <si>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</si>
  <si>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</si>
  <si>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</si>
  <si>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</si>
  <si>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</si>
  <si>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</si>
  <si>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</si>
  <si>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</si>
  <si>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</si>
  <si>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</si>
  <si>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</si>
  <si>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</si>
  <si>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</si>
  <si>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</si>
  <si>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</si>
  <si>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</si>
  <si>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</si>
  <si>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</si>
  <si>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</si>
  <si>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</si>
  <si>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</si>
  <si>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</si>
  <si>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</si>
  <si>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</si>
  <si>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</si>
  <si>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</si>
  <si>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</si>
  <si>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</si>
  <si>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</si>
  <si>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</si>
  <si>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</si>
  <si>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</si>
  <si>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</si>
  <si>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</si>
  <si>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</si>
  <si>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</si>
  <si>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</si>
  <si>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</si>
  <si>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</si>
  <si>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</si>
  <si>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</si>
  <si>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</si>
  <si>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</si>
  <si>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</si>
  <si>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</si>
  <si>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</si>
  <si>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</si>
  <si>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</si>
  <si>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</si>
  <si>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</si>
  <si>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</si>
  <si>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</si>
  <si>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</si>
  <si>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</si>
  <si>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</si>
  <si>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</si>
  <si>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</si>
  <si>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</si>
  <si>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</si>
  <si>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</si>
  <si>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</si>
  <si>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</si>
  <si>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</si>
  <si>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</si>
  <si>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</si>
  <si>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</si>
  <si>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</si>
  <si>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</si>
  <si>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</si>
  <si>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</si>
  <si>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</si>
  <si>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</si>
  <si>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</si>
  <si>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</si>
  <si>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</si>
  <si>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</si>
  <si>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</si>
  <si>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</si>
  <si>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</si>
  <si>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</si>
  <si>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</si>
  <si>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</si>
  <si>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</si>
  <si>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</si>
  <si>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</si>
  <si>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</si>
  <si>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</si>
  <si>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</si>
  <si>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</si>
  <si>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</si>
  <si>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</si>
  <si>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</si>
  <si>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</si>
  <si>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</si>
  <si>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</si>
  <si>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</si>
  <si>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</si>
  <si>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</si>
  <si>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</si>
  <si>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</si>
  <si>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</si>
  <si>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</si>
  <si>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</si>
  <si>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</si>
  <si>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</si>
  <si>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</si>
  <si>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</si>
  <si>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</si>
  <si>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</si>
  <si>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</si>
  <si>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</si>
  <si>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</si>
  <si>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</si>
  <si>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</si>
  <si>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</si>
  <si>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</si>
  <si>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</si>
  <si>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</si>
  <si>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</si>
  <si>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</si>
  <si>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</si>
  <si>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</si>
  <si>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</si>
  <si>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</si>
  <si>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</si>
  <si>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</si>
  <si>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</si>
  <si>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</si>
  <si>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</si>
  <si>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</si>
  <si>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</si>
  <si>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</si>
  <si>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</si>
  <si>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</si>
  <si>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</si>
  <si>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</si>
  <si>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</si>
  <si>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</si>
  <si>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</si>
  <si>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</si>
  <si>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</si>
  <si>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</si>
  <si>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</si>
  <si>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</si>
  <si>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</si>
  <si>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</si>
  <si>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</si>
  <si>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</si>
  <si>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</si>
  <si>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</si>
  <si>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</si>
  <si>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</si>
  <si>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</si>
  <si>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</si>
  <si>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</si>
  <si>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</si>
  <si>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</si>
  <si>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</si>
  <si>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</si>
  <si>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</si>
  <si>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</si>
  <si>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</si>
  <si>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</si>
  <si>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</si>
  <si>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</si>
  <si>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</si>
  <si>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</si>
  <si>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</si>
  <si>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</si>
  <si>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</si>
  <si>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</si>
  <si>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</si>
  <si>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</si>
  <si>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</si>
  <si>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</si>
  <si>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</si>
  <si>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</si>
  <si>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</si>
  <si>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</si>
  <si>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</si>
  <si>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</si>
  <si>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</si>
  <si>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</si>
  <si>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</si>
  <si>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</si>
  <si>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</si>
  <si>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</si>
  <si>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</si>
  <si>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</si>
  <si>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</si>
  <si>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</si>
  <si>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</si>
  <si>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</si>
  <si>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</si>
  <si>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</si>
  <si>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</si>
  <si>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</si>
  <si>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</si>
  <si>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</si>
  <si>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</si>
  <si>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</si>
  <si>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</si>
  <si>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</si>
  <si>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</si>
  <si>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</si>
  <si>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</si>
  <si>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</si>
  <si>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</si>
  <si>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</si>
  <si>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</si>
  <si>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</si>
  <si>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</si>
  <si>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</si>
  <si>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</si>
  <si>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</si>
  <si>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</si>
  <si>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</si>
  <si>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</si>
  <si>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</si>
  <si>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</si>
  <si>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</si>
  <si>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</si>
  <si>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</si>
  <si>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</si>
  <si>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</si>
  <si>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</si>
  <si>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</si>
  <si>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</si>
  <si>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</si>
  <si>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</si>
  <si>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</si>
  <si>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</si>
  <si>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</si>
  <si>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</si>
  <si>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</si>
  <si>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</si>
  <si>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</si>
  <si>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</si>
  <si>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</si>
  <si>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</si>
  <si>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</si>
  <si>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</si>
  <si>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</si>
  <si>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</si>
  <si>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</si>
  <si>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</si>
  <si>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</si>
  <si>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</si>
  <si>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</si>
  <si>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</si>
  <si>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</si>
  <si>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</si>
  <si>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</si>
  <si>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</si>
  <si>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</si>
  <si>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</si>
  <si>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</si>
  <si>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</si>
  <si>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</si>
  <si>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</si>
  <si>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</si>
  <si>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</si>
  <si>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</si>
  <si>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</si>
  <si>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</si>
  <si>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</si>
  <si>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</si>
  <si>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</si>
  <si>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</si>
  <si>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</si>
  <si>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</si>
  <si>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</si>
  <si>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</si>
  <si>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</si>
  <si>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</si>
  <si>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</si>
  <si>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</si>
  <si>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</si>
  <si>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</si>
  <si>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</si>
  <si>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</si>
  <si>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</si>
  <si>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</si>
  <si>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</si>
  <si>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</si>
  <si>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</si>
  <si>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</si>
  <si>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</si>
  <si>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</si>
  <si>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</si>
  <si>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</si>
  <si>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</si>
  <si>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</si>
  <si>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</si>
  <si>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</si>
  <si>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</si>
  <si>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</si>
  <si>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</si>
  <si>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</si>
  <si>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</si>
  <si>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</si>
  <si>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</si>
  <si>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</si>
  <si>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</si>
  <si>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</si>
  <si>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</si>
  <si>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</si>
  <si>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</si>
  <si>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</si>
  <si>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</si>
  <si>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</si>
  <si>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</si>
  <si>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</si>
  <si>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</si>
  <si>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</si>
  <si>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</si>
  <si>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</si>
  <si>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</si>
  <si>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</si>
  <si>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</si>
  <si>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</si>
  <si>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</si>
  <si>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</si>
  <si>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</si>
  <si>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</si>
  <si>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</si>
  <si>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</si>
  <si>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</si>
  <si>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</si>
  <si>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</si>
  <si>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</si>
  <si>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</si>
  <si>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</si>
  <si>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</si>
  <si>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</si>
  <si>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</si>
  <si>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</si>
  <si>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</si>
  <si>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</si>
  <si>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</si>
  <si>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</si>
  <si>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</si>
  <si>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</si>
  <si>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</si>
  <si>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</si>
  <si>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</si>
  <si>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</si>
  <si>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</si>
  <si>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</si>
  <si>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</si>
  <si>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</si>
  <si>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</si>
  <si>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</si>
  <si>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</si>
  <si>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</si>
  <si>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</si>
  <si>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</si>
  <si>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</si>
  <si>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</si>
  <si>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</si>
  <si>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</si>
  <si>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</si>
  <si>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</si>
  <si>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</si>
  <si>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</si>
  <si>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</si>
  <si>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</si>
  <si>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</si>
  <si>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</si>
  <si>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</si>
  <si>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</si>
  <si>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</si>
  <si>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</si>
  <si>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</si>
  <si>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</si>
  <si>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</si>
  <si>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</si>
  <si>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</si>
  <si>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</si>
  <si>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</si>
  <si>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</si>
  <si>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</si>
  <si>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</si>
  <si>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</si>
  <si>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</si>
  <si>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</si>
  <si>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</si>
  <si>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</si>
  <si>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</si>
  <si>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</si>
  <si>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</si>
  <si>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</si>
  <si>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</si>
  <si>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</si>
  <si>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</si>
  <si>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</si>
  <si>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</si>
  <si>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</si>
  <si>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</si>
  <si>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</si>
  <si>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</si>
  <si>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</si>
  <si>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</si>
  <si>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</si>
  <si>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</si>
  <si>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</si>
  <si>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</si>
  <si>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</si>
  <si>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</si>
  <si>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</si>
  <si>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</si>
  <si>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</si>
  <si>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</si>
  <si>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</si>
  <si>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</si>
  <si>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</si>
  <si>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</si>
  <si>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</si>
  <si>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</si>
  <si>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</si>
  <si>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</si>
  <si>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</si>
  <si>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</si>
  <si>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</si>
  <si>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</si>
  <si>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</si>
  <si>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</si>
  <si>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</si>
  <si>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</si>
  <si>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</si>
  <si>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</si>
  <si>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</si>
  <si>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</si>
  <si>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</si>
  <si>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</si>
  <si>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</si>
  <si>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</si>
  <si>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</si>
  <si>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</si>
  <si>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</si>
  <si>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</si>
  <si>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</si>
  <si>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</si>
  <si>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</si>
  <si>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</si>
  <si>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</si>
  <si>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</si>
  <si>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</si>
  <si>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</si>
  <si>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</si>
  <si>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</si>
  <si>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</si>
  <si>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</si>
  <si>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</si>
  <si>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</si>
  <si>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</si>
  <si>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</si>
  <si>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</si>
  <si>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</si>
  <si>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</si>
  <si>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</si>
  <si>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</si>
  <si>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</si>
  <si>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</si>
  <si>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</si>
  <si>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</si>
  <si>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</si>
  <si>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</si>
  <si>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</si>
  <si>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</si>
  <si>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</si>
  <si>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</si>
  <si>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</si>
  <si>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</si>
  <si>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</si>
  <si>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</si>
  <si>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</si>
  <si>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</si>
  <si>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</si>
  <si>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</si>
  <si>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</si>
  <si>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</si>
  <si>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</si>
  <si>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</si>
  <si>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</si>
  <si>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</si>
  <si>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</si>
  <si>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</si>
  <si>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</si>
  <si>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</si>
  <si>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</si>
  <si>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</si>
  <si>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</si>
  <si>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</si>
  <si>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</si>
  <si>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</si>
  <si>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</si>
  <si>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</si>
  <si>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</si>
  <si>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</si>
  <si>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</si>
  <si>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</si>
  <si>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</si>
  <si>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</si>
  <si>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</si>
  <si>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</si>
  <si>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</si>
  <si>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</si>
  <si>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</si>
  <si>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</si>
  <si>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</si>
  <si>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</si>
  <si>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</si>
  <si>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</si>
  <si>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</si>
  <si>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</si>
  <si>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</si>
  <si>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</si>
  <si>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</si>
  <si>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</si>
  <si>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</si>
  <si>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</si>
  <si>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</si>
  <si>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</si>
  <si>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</si>
  <si>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</si>
  <si>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</si>
  <si>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</si>
  <si>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</si>
  <si>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</si>
  <si>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</si>
  <si>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</si>
  <si>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</si>
  <si>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</si>
  <si>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</si>
  <si>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</si>
  <si>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</si>
  <si>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</si>
  <si>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</si>
  <si>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</si>
  <si>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</si>
  <si>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</si>
  <si>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</si>
  <si>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</si>
  <si>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</si>
  <si>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</si>
  <si>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</si>
  <si>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</si>
  <si>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</si>
  <si>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</si>
  <si>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</si>
  <si>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</si>
  <si>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</si>
  <si>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</si>
  <si>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</si>
  <si>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</si>
  <si>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</si>
  <si>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</si>
  <si>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</si>
  <si>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</si>
  <si>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</si>
  <si>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</si>
  <si>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</si>
  <si>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</si>
  <si>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</si>
  <si>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</si>
  <si>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</si>
  <si>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</si>
  <si>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</si>
  <si>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</si>
  <si>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</si>
  <si>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</si>
  <si>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</si>
  <si>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</si>
  <si>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</si>
  <si>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</si>
  <si>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</si>
  <si>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</si>
  <si>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</si>
  <si>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</si>
  <si>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</si>
  <si>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</si>
  <si>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</si>
  <si>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</si>
  <si>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</si>
  <si>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</si>
  <si>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</si>
  <si>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</si>
  <si>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</si>
  <si>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</si>
  <si>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</si>
  <si>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</si>
  <si>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</si>
  <si>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</si>
  <si>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</si>
  <si>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</si>
  <si>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</si>
  <si>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</si>
  <si>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</si>
  <si>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</si>
  <si>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</si>
  <si>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</si>
  <si>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</si>
  <si>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</si>
  <si>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</si>
  <si>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</si>
  <si>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</si>
  <si>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</si>
  <si>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</si>
  <si>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</si>
  <si>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</si>
  <si>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</si>
  <si>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</si>
  <si>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</si>
  <si>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</si>
  <si>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</si>
  <si>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</si>
  <si>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</si>
  <si>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</si>
  <si>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</si>
  <si>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</si>
  <si>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</si>
  <si>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</si>
  <si>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</si>
  <si>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</si>
  <si>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</si>
  <si>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</si>
  <si>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</si>
  <si>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</si>
  <si>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</si>
  <si>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</si>
  <si>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</si>
  <si>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</si>
  <si>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</si>
  <si>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</si>
  <si>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</si>
  <si>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</si>
  <si>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</si>
  <si>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</si>
  <si>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</si>
  <si>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</si>
  <si>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</si>
  <si>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</si>
  <si>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</si>
  <si>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</si>
  <si>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</si>
  <si>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</si>
  <si>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</si>
  <si>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</si>
  <si>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</si>
  <si>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</si>
  <si>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</si>
  <si>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</si>
  <si>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</si>
  <si>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</si>
  <si>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</si>
  <si>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</si>
  <si>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</si>
  <si>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</si>
  <si>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</si>
  <si>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</si>
  <si>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</si>
  <si>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</si>
  <si>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</si>
  <si>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</si>
  <si>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</si>
  <si>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</si>
  <si>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</si>
  <si>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</si>
  <si>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</si>
  <si>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</si>
  <si>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</si>
  <si>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</si>
  <si>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</si>
  <si>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</si>
  <si>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</si>
  <si>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</si>
  <si>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</si>
  <si>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</si>
  <si>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</si>
  <si>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</si>
  <si>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</si>
  <si>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</si>
  <si>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</si>
  <si>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</si>
  <si>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</si>
  <si>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</si>
  <si>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</si>
  <si>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</si>
  <si>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</si>
  <si>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</si>
  <si>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</si>
  <si>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</si>
  <si>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</si>
  <si>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</si>
  <si>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</si>
  <si>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</si>
  <si>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</si>
  <si>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</si>
  <si>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</si>
  <si>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</si>
  <si>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</si>
  <si>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</si>
  <si>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</si>
  <si>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</si>
  <si>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</si>
  <si>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</si>
  <si>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</si>
  <si>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</si>
  <si>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</si>
  <si>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</si>
  <si>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</si>
  <si>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</si>
  <si>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</si>
  <si>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</si>
  <si>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</si>
  <si>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</si>
  <si>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</si>
  <si>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</si>
  <si>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</si>
  <si>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</si>
  <si>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</si>
  <si>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</si>
  <si>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</si>
  <si>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</si>
  <si>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</si>
  <si>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</si>
  <si>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</si>
  <si>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</si>
  <si>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</si>
  <si>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</si>
  <si>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</si>
  <si>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</si>
  <si>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</si>
  <si>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</si>
  <si>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</si>
  <si>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</si>
  <si>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</si>
  <si>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</si>
  <si>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</si>
  <si>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</si>
  <si>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</si>
  <si>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</si>
  <si>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</si>
  <si>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</si>
  <si>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</si>
  <si>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</si>
  <si>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</si>
  <si>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</si>
  <si>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</si>
  <si>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</si>
  <si>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</si>
  <si>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</si>
  <si>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</si>
  <si>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</si>
  <si>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</si>
  <si>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</si>
  <si>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</si>
  <si>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</si>
  <si>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</si>
  <si>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</si>
  <si>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</si>
  <si>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</si>
  <si>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</si>
  <si>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</si>
  <si>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</si>
  <si>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</si>
  <si>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</si>
  <si>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</si>
  <si>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</si>
  <si>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</si>
  <si>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</si>
  <si>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</si>
  <si>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</si>
  <si>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</si>
  <si>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</si>
  <si>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</si>
  <si>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</si>
  <si>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</si>
  <si>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</si>
  <si>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</si>
  <si>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</si>
  <si>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</si>
  <si>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</si>
  <si>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</si>
  <si>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</si>
  <si>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</si>
  <si>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</si>
  <si>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</si>
  <si>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</si>
  <si>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</si>
  <si>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</si>
  <si>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</si>
  <si>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</si>
  <si>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</si>
  <si>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</si>
  <si>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</si>
  <si>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</si>
  <si>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</si>
  <si>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</si>
  <si>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</si>
  <si>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</si>
  <si>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</si>
  <si>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</si>
  <si>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</si>
  <si>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</si>
  <si>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</si>
  <si>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</si>
  <si>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</si>
  <si>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</si>
  <si>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</si>
  <si>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</si>
  <si>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</si>
  <si>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</si>
  <si>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</si>
  <si>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</si>
  <si>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</si>
  <si>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</si>
  <si>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</si>
  <si>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</si>
  <si>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</si>
  <si>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</si>
  <si>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</si>
  <si>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</si>
  <si>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</si>
  <si>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</si>
  <si>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</si>
  <si>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</si>
  <si>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</si>
  <si>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</si>
  <si>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</si>
  <si>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</si>
  <si>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</si>
  <si>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</si>
  <si>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</si>
  <si>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</si>
  <si>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</si>
  <si>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</si>
  <si>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</si>
  <si>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</si>
  <si>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</si>
  <si>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</si>
  <si>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</si>
  <si>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</si>
  <si>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</si>
  <si>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</si>
  <si>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</si>
  <si>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</si>
  <si>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</si>
  <si>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</si>
  <si>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</si>
  <si>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</si>
  <si>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</si>
  <si>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</si>
  <si>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</si>
  <si>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</si>
  <si>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</si>
  <si>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</si>
  <si>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</si>
  <si>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</si>
  <si>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</si>
  <si>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</si>
  <si>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</si>
  <si>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</si>
  <si>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</si>
  <si>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</si>
  <si>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</si>
  <si>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</si>
  <si>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</si>
  <si>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</si>
  <si>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</si>
  <si>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</si>
  <si>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</si>
  <si>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</si>
  <si>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</si>
  <si>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</si>
  <si>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</si>
  <si>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</si>
  <si>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</si>
  <si>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</si>
  <si>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</si>
  <si>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</si>
  <si>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</si>
  <si>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</si>
  <si>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</si>
  <si>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</si>
  <si>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</si>
  <si>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</si>
  <si>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</si>
  <si>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</si>
  <si>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</si>
  <si>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</si>
  <si>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</si>
  <si>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</si>
  <si>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</si>
  <si>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</si>
  <si>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</si>
  <si>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</si>
  <si>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</si>
  <si>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</si>
  <si>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</si>
  <si>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</si>
  <si>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</si>
  <si>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</si>
  <si>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</si>
  <si>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</si>
  <si>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</si>
  <si>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</si>
  <si>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</si>
  <si>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</si>
  <si>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</si>
  <si>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</si>
  <si>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</si>
  <si>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</si>
  <si>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</si>
  <si>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</si>
  <si>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</si>
  <si>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</si>
  <si>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</si>
  <si>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</si>
  <si>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</si>
  <si>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</si>
  <si>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</si>
  <si>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</si>
  <si>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</si>
  <si>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</si>
  <si>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</si>
  <si>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</si>
  <si>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</si>
  <si>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</si>
  <si>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</si>
  <si>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</si>
  <si>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</si>
  <si>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</si>
  <si>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</si>
  <si>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</si>
  <si>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</si>
  <si>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</si>
  <si>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</si>
  <si>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</si>
  <si>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</si>
  <si>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</si>
  <si>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</si>
  <si>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</si>
  <si>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</si>
  <si>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</si>
  <si>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</si>
  <si>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</si>
  <si>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</si>
  <si>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</si>
  <si>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</si>
  <si>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</si>
  <si>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</si>
  <si>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</si>
  <si>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</si>
  <si>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</si>
  <si>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</si>
  <si>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</si>
  <si>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</si>
  <si>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</si>
  <si>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</si>
  <si>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</si>
  <si>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</si>
  <si>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</si>
  <si>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</si>
  <si>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</si>
  <si>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</si>
  <si>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</si>
  <si>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</si>
  <si>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</si>
  <si>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</si>
  <si>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</si>
  <si>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</si>
  <si>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</si>
  <si>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</si>
  <si>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</si>
  <si>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</si>
  <si>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</si>
  <si>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</si>
  <si>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</si>
  <si>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</si>
  <si>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</si>
  <si>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</si>
  <si>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</si>
  <si>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</si>
  <si>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</si>
  <si>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</si>
  <si>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</si>
  <si>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</si>
  <si>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</si>
  <si>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</si>
  <si>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</si>
  <si>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</si>
  <si>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</si>
  <si>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</si>
  <si>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</si>
  <si>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</si>
  <si>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</si>
  <si>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</si>
  <si>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</si>
  <si>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</si>
  <si>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</si>
  <si>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</si>
  <si>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</si>
  <si>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</si>
  <si>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</si>
  <si>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</si>
  <si>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</si>
  <si>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</si>
  <si>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</si>
  <si>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</si>
  <si>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</si>
  <si>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</si>
  <si>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</si>
  <si>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</si>
  <si>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</si>
  <si>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</si>
  <si>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</si>
  <si>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</si>
  <si>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</si>
  <si>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</si>
  <si>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</si>
  <si>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</si>
  <si>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</si>
  <si>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</si>
  <si>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</si>
  <si>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</si>
  <si>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</si>
  <si>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</si>
  <si>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</si>
  <si>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</si>
  <si>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</si>
  <si>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</si>
  <si>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</si>
  <si>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</si>
  <si>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</si>
  <si>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</si>
  <si>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</si>
  <si>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</si>
  <si>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</si>
  <si>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</si>
  <si>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</si>
  <si>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</si>
  <si>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</si>
  <si>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</si>
  <si>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</si>
  <si>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</si>
  <si>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</si>
  <si>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</si>
  <si>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</si>
  <si>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</si>
  <si>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</si>
  <si>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</si>
  <si>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</si>
  <si>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</si>
  <si>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</si>
  <si>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</si>
  <si>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</si>
  <si>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</si>
  <si>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</si>
  <si>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</si>
  <si>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</si>
  <si>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</si>
  <si>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</si>
  <si>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</si>
  <si>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</si>
  <si>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</si>
  <si>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</si>
  <si>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</si>
  <si>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</si>
  <si>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</si>
  <si>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</si>
  <si>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</si>
  <si>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</si>
  <si>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</si>
  <si>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</si>
  <si>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</si>
  <si>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</si>
  <si>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</si>
  <si>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</si>
  <si>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</si>
  <si>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</si>
  <si>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</si>
  <si>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</si>
  <si>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</si>
  <si>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</si>
  <si>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</si>
  <si>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</si>
  <si>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</si>
  <si>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</si>
  <si>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</si>
  <si>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</si>
  <si>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</si>
  <si>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</si>
  <si>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</si>
  <si>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</si>
  <si>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</si>
  <si>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</si>
  <si>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</si>
  <si>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</si>
  <si>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</si>
  <si>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</si>
  <si>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</si>
  <si>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</si>
  <si>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</si>
  <si>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</si>
  <si>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</si>
  <si>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</si>
  <si>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</si>
  <si>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</si>
  <si>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</si>
  <si>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</si>
  <si>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</si>
  <si>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</si>
  <si>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</si>
  <si>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</si>
  <si>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</si>
  <si>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</si>
  <si>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</si>
  <si>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</si>
  <si>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</si>
  <si>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</si>
  <si>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</si>
  <si>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</si>
  <si>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</si>
  <si>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</si>
  <si>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</si>
  <si>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</si>
  <si>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</si>
  <si>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</si>
  <si>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</si>
  <si>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</si>
  <si>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</si>
  <si>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</si>
  <si>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</si>
  <si>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</si>
  <si>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</si>
  <si>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</si>
  <si>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</si>
  <si>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</si>
  <si>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</si>
  <si>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</si>
  <si>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</si>
  <si>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</si>
  <si>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</si>
  <si>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</si>
  <si>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</si>
  <si>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</si>
  <si>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</si>
  <si>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</si>
  <si>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</si>
  <si>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</si>
  <si>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</si>
  <si>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</si>
  <si>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</si>
  <si>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</si>
  <si>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</si>
  <si>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</si>
  <si>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</si>
  <si>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</si>
  <si>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</si>
  <si>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</si>
  <si>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</si>
  <si>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</si>
  <si>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</si>
  <si>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</si>
  <si>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</si>
  <si>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</si>
  <si>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</si>
  <si>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</si>
  <si>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</si>
  <si>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</si>
  <si>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</si>
  <si>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</si>
  <si>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</si>
  <si>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</si>
  <si>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</si>
  <si>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</si>
  <si>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</si>
  <si>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</si>
  <si>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</si>
  <si>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</si>
  <si>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</si>
  <si>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</si>
  <si>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</si>
  <si>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</si>
  <si>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</si>
  <si>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</si>
  <si>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</si>
  <si>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</si>
  <si>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</si>
  <si>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</si>
  <si>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</si>
  <si>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</si>
  <si>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</si>
  <si>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</si>
  <si>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</si>
  <si>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</si>
  <si>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</si>
  <si>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</si>
  <si>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</si>
  <si>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</si>
  <si>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</si>
  <si>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</si>
  <si>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</si>
  <si>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</si>
  <si>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</si>
  <si>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</si>
  <si>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</si>
  <si>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</si>
  <si>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</si>
  <si>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</si>
  <si>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</si>
  <si>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</si>
  <si>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</si>
  <si>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</si>
  <si>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</si>
  <si>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</si>
  <si>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</si>
  <si>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</si>
  <si>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</si>
  <si>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</si>
  <si>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</si>
  <si>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</si>
  <si>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</si>
  <si>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</si>
  <si>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</si>
  <si>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</si>
  <si>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</si>
  <si>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</si>
  <si>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</si>
  <si>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</si>
  <si>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</si>
  <si>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</si>
  <si>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</si>
  <si>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</si>
  <si>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</si>
  <si>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</si>
  <si>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</si>
  <si>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</si>
  <si>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</si>
  <si>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</si>
  <si>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</si>
  <si>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</si>
  <si>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</si>
  <si>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</si>
  <si>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</si>
  <si>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</si>
  <si>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</si>
  <si>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</si>
  <si>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</si>
  <si>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</si>
  <si>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</si>
  <si>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</si>
  <si>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</si>
  <si>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</si>
  <si>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</si>
  <si>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</si>
  <si>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</si>
  <si>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</si>
  <si>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</si>
  <si>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</si>
  <si>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</si>
  <si>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20101 تا 3680</t>
  </si>
  <si>
    <t>پارس 308 تا 3550</t>
  </si>
  <si>
    <t>بدهی به مهدی 16/5/1397</t>
  </si>
  <si>
    <t>بدهی به داریوش</t>
  </si>
  <si>
    <t>واریز از ملت علی به بورس علی</t>
  </si>
  <si>
    <t>شسپا</t>
  </si>
  <si>
    <t xml:space="preserve">سود پارس 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</si>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</sst>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3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4" workbookViewId="0">
      <selection activeCell="E57" sqref="E57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4051</v>
      </c>
      <c r="B3" s="18">
        <v>785000</v>
      </c>
      <c r="C3" s="18">
        <v>0</v>
      </c>
      <c r="D3" s="123">
        <f t="shared" ref="D3:D22" si="0">B3-C3</f>
        <v>785000</v>
      </c>
      <c r="E3" s="20" t="s">
        <v>1040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4051</v>
      </c>
      <c r="B4" s="18">
        <v>-32000</v>
      </c>
      <c r="C4" s="18">
        <v>0</v>
      </c>
      <c r="D4" s="119">
        <f t="shared" si="0"/>
        <v>-32000</v>
      </c>
      <c r="E4" s="105" t="s">
        <v>4022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4053</v>
      </c>
      <c r="B5" s="18">
        <v>-750000</v>
      </c>
      <c r="C5" s="18">
        <v>0</v>
      </c>
      <c r="D5" s="119">
        <f t="shared" si="0"/>
        <v>-750000</v>
      </c>
      <c r="E5" s="20" t="s">
        <v>3817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64997</v>
      </c>
      <c r="C24" s="119">
        <f>SUM(C2:C22)</f>
        <v>7835443</v>
      </c>
      <c r="D24" s="119">
        <f>SUM(D2:D22)</f>
        <v>-7770446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2669910</v>
      </c>
      <c r="H25" s="18">
        <f>SUM(H2:H23)</f>
        <v>235063290</v>
      </c>
      <c r="I25" s="18">
        <f>SUM(I2:I23)</f>
        <v>-232393380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52824.991853657986</v>
      </c>
      <c r="I30" s="18">
        <f>G30*I25/G25</f>
        <v>-52224.991853657986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4021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4025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4028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4054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4055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4060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4061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4063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4066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32750</v>
      </c>
      <c r="E51" s="41" t="s">
        <v>4068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4076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4077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4084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4087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4088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4090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f>SUM(D30:D62)</f>
        <v>-12780840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6" activePane="bottomLeft" state="frozen"/>
      <selection pane="bottomLeft" activeCell="F176" sqref="F17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848</v>
      </c>
      <c r="H2" s="36">
        <f>IF(B2&gt;0,1,0)</f>
        <v>1</v>
      </c>
      <c r="I2" s="11">
        <f>B2*(G2-H2)</f>
        <v>14144900</v>
      </c>
      <c r="J2" s="53">
        <f>C2*(G2-H2)</f>
        <v>14144900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847</v>
      </c>
      <c r="H3" s="36">
        <f t="shared" ref="H3:H66" si="2">IF(B3&gt;0,1,0)</f>
        <v>1</v>
      </c>
      <c r="I3" s="11">
        <f t="shared" ref="I3:I66" si="3">B3*(G3-H3)</f>
        <v>16835400000</v>
      </c>
      <c r="J3" s="53">
        <f t="shared" ref="J3:J66" si="4">C3*(G3-H3)</f>
        <v>9633402000</v>
      </c>
      <c r="K3" s="53">
        <f t="shared" ref="K3:K66" si="5">D3*(G3-H3)</f>
        <v>7201998000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847</v>
      </c>
      <c r="H4" s="36">
        <f t="shared" si="2"/>
        <v>0</v>
      </c>
      <c r="I4" s="11">
        <f t="shared" si="3"/>
        <v>0</v>
      </c>
      <c r="J4" s="53">
        <f t="shared" si="4"/>
        <v>7199500</v>
      </c>
      <c r="K4" s="53">
        <f t="shared" si="5"/>
        <v>-7199500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845</v>
      </c>
      <c r="H5" s="36">
        <f t="shared" si="2"/>
        <v>1</v>
      </c>
      <c r="I5" s="11">
        <f t="shared" si="3"/>
        <v>1688000000</v>
      </c>
      <c r="J5" s="53">
        <f t="shared" si="4"/>
        <v>0</v>
      </c>
      <c r="K5" s="53">
        <f t="shared" si="5"/>
        <v>1688000000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838</v>
      </c>
      <c r="H6" s="36">
        <f t="shared" si="2"/>
        <v>0</v>
      </c>
      <c r="I6" s="11">
        <f t="shared" si="3"/>
        <v>-4190000</v>
      </c>
      <c r="J6" s="53">
        <f t="shared" si="4"/>
        <v>0</v>
      </c>
      <c r="K6" s="53">
        <f t="shared" si="5"/>
        <v>-4190000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834</v>
      </c>
      <c r="H7" s="36">
        <f t="shared" si="2"/>
        <v>0</v>
      </c>
      <c r="I7" s="11">
        <f t="shared" si="3"/>
        <v>-1001217000</v>
      </c>
      <c r="J7" s="53">
        <f t="shared" si="4"/>
        <v>0</v>
      </c>
      <c r="K7" s="53">
        <f t="shared" si="5"/>
        <v>-1001217000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833</v>
      </c>
      <c r="H8" s="36">
        <f t="shared" si="2"/>
        <v>0</v>
      </c>
      <c r="I8" s="11">
        <f t="shared" si="3"/>
        <v>-166600000</v>
      </c>
      <c r="J8" s="53">
        <f t="shared" si="4"/>
        <v>0</v>
      </c>
      <c r="K8" s="53">
        <f t="shared" si="5"/>
        <v>-166600000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831</v>
      </c>
      <c r="H9" s="36">
        <f t="shared" si="2"/>
        <v>0</v>
      </c>
      <c r="I9" s="11">
        <f t="shared" si="3"/>
        <v>-586270500</v>
      </c>
      <c r="J9" s="53">
        <f t="shared" si="4"/>
        <v>0</v>
      </c>
      <c r="K9" s="53">
        <f t="shared" si="5"/>
        <v>-586270500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822</v>
      </c>
      <c r="H10" s="36">
        <f t="shared" si="2"/>
        <v>0</v>
      </c>
      <c r="I10" s="11">
        <f t="shared" si="3"/>
        <v>-164400000</v>
      </c>
      <c r="J10" s="53">
        <f t="shared" si="4"/>
        <v>0</v>
      </c>
      <c r="K10" s="53">
        <f t="shared" si="5"/>
        <v>-164400000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822</v>
      </c>
      <c r="H11" s="36">
        <f t="shared" si="2"/>
        <v>1</v>
      </c>
      <c r="I11" s="11">
        <f t="shared" si="3"/>
        <v>821000000</v>
      </c>
      <c r="J11" s="53">
        <f t="shared" si="4"/>
        <v>0</v>
      </c>
      <c r="K11" s="53">
        <f t="shared" si="5"/>
        <v>821000000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818</v>
      </c>
      <c r="H12" s="36">
        <f t="shared" si="2"/>
        <v>0</v>
      </c>
      <c r="I12" s="11">
        <f t="shared" si="3"/>
        <v>-245400000</v>
      </c>
      <c r="J12" s="53">
        <f t="shared" si="4"/>
        <v>0</v>
      </c>
      <c r="K12" s="53">
        <f t="shared" si="5"/>
        <v>-245400000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813</v>
      </c>
      <c r="H13" s="36">
        <f t="shared" si="2"/>
        <v>0</v>
      </c>
      <c r="I13" s="11">
        <f t="shared" si="3"/>
        <v>-50406000</v>
      </c>
      <c r="J13" s="53">
        <f t="shared" si="4"/>
        <v>0</v>
      </c>
      <c r="K13" s="53">
        <f t="shared" si="5"/>
        <v>-50406000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813</v>
      </c>
      <c r="H14" s="36">
        <f t="shared" si="2"/>
        <v>1</v>
      </c>
      <c r="I14" s="11">
        <f t="shared" si="3"/>
        <v>1624000000</v>
      </c>
      <c r="J14" s="53">
        <f t="shared" si="4"/>
        <v>0</v>
      </c>
      <c r="K14" s="53">
        <f t="shared" si="5"/>
        <v>1624000000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812</v>
      </c>
      <c r="H15" s="36">
        <f t="shared" si="2"/>
        <v>1</v>
      </c>
      <c r="I15" s="11">
        <f t="shared" si="3"/>
        <v>1459800000</v>
      </c>
      <c r="J15" s="53">
        <f t="shared" si="4"/>
        <v>0</v>
      </c>
      <c r="K15" s="53">
        <f t="shared" si="5"/>
        <v>1459800000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812</v>
      </c>
      <c r="H16" s="36">
        <f t="shared" si="2"/>
        <v>0</v>
      </c>
      <c r="I16" s="11">
        <f t="shared" si="3"/>
        <v>-162400000</v>
      </c>
      <c r="J16" s="53">
        <f t="shared" si="4"/>
        <v>0</v>
      </c>
      <c r="K16" s="53">
        <f t="shared" si="5"/>
        <v>-162400000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808</v>
      </c>
      <c r="H17" s="36">
        <f t="shared" si="2"/>
        <v>0</v>
      </c>
      <c r="I17" s="11">
        <f t="shared" si="3"/>
        <v>-1616000000</v>
      </c>
      <c r="J17" s="53">
        <f t="shared" si="4"/>
        <v>0</v>
      </c>
      <c r="K17" s="53">
        <f t="shared" si="5"/>
        <v>-1616000000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807</v>
      </c>
      <c r="H18" s="36">
        <f t="shared" si="2"/>
        <v>0</v>
      </c>
      <c r="I18" s="11">
        <f t="shared" si="3"/>
        <v>-242100000</v>
      </c>
      <c r="J18" s="53">
        <f t="shared" si="4"/>
        <v>0</v>
      </c>
      <c r="K18" s="53">
        <f t="shared" si="5"/>
        <v>-242100000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806</v>
      </c>
      <c r="H19" s="36">
        <f t="shared" si="2"/>
        <v>0</v>
      </c>
      <c r="I19" s="11">
        <f t="shared" si="3"/>
        <v>-161200000</v>
      </c>
      <c r="J19" s="53">
        <f t="shared" si="4"/>
        <v>0</v>
      </c>
      <c r="K19" s="53">
        <f t="shared" si="5"/>
        <v>-161200000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804</v>
      </c>
      <c r="H20" s="36">
        <f t="shared" si="2"/>
        <v>1</v>
      </c>
      <c r="I20" s="11">
        <f t="shared" si="3"/>
        <v>217684467</v>
      </c>
      <c r="J20" s="53">
        <f t="shared" si="4"/>
        <v>118403956</v>
      </c>
      <c r="K20" s="53">
        <f t="shared" si="5"/>
        <v>99280511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802</v>
      </c>
      <c r="H21" s="36">
        <f t="shared" si="2"/>
        <v>0</v>
      </c>
      <c r="I21" s="11">
        <f t="shared" si="3"/>
        <v>-1207571400</v>
      </c>
      <c r="J21" s="53">
        <f t="shared" si="4"/>
        <v>0</v>
      </c>
      <c r="K21" s="53">
        <f t="shared" si="5"/>
        <v>-1207571400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799</v>
      </c>
      <c r="H22" s="36">
        <f t="shared" si="2"/>
        <v>1</v>
      </c>
      <c r="I22" s="11">
        <f t="shared" si="3"/>
        <v>2394000000</v>
      </c>
      <c r="J22" s="53">
        <f t="shared" si="4"/>
        <v>0</v>
      </c>
      <c r="K22" s="53">
        <f t="shared" si="5"/>
        <v>2394000000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798</v>
      </c>
      <c r="H23" s="36">
        <f t="shared" si="2"/>
        <v>1</v>
      </c>
      <c r="I23" s="11">
        <f t="shared" si="3"/>
        <v>797000000</v>
      </c>
      <c r="J23" s="53">
        <f t="shared" si="4"/>
        <v>0</v>
      </c>
      <c r="K23" s="53">
        <f t="shared" si="5"/>
        <v>797000000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797</v>
      </c>
      <c r="H24" s="36">
        <f t="shared" si="2"/>
        <v>0</v>
      </c>
      <c r="I24" s="11">
        <f t="shared" si="3"/>
        <v>-2391717300</v>
      </c>
      <c r="J24" s="53">
        <f t="shared" si="4"/>
        <v>0</v>
      </c>
      <c r="K24" s="53">
        <f t="shared" si="5"/>
        <v>-2391717300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782</v>
      </c>
      <c r="H25" s="36">
        <f t="shared" si="2"/>
        <v>1</v>
      </c>
      <c r="I25" s="11">
        <f t="shared" si="3"/>
        <v>1171500000</v>
      </c>
      <c r="J25" s="53">
        <f t="shared" si="4"/>
        <v>0</v>
      </c>
      <c r="K25" s="53">
        <f t="shared" si="5"/>
        <v>1171500000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774</v>
      </c>
      <c r="H26" s="36">
        <f t="shared" si="2"/>
        <v>0</v>
      </c>
      <c r="I26" s="11">
        <f t="shared" si="3"/>
        <v>-126936000</v>
      </c>
      <c r="J26" s="53">
        <f t="shared" si="4"/>
        <v>0</v>
      </c>
      <c r="K26" s="53">
        <f t="shared" si="5"/>
        <v>-126936000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773</v>
      </c>
      <c r="H27" s="36">
        <f t="shared" si="2"/>
        <v>1</v>
      </c>
      <c r="I27" s="11">
        <f t="shared" si="3"/>
        <v>153931396</v>
      </c>
      <c r="J27" s="53">
        <f t="shared" si="4"/>
        <v>82922836</v>
      </c>
      <c r="K27" s="53">
        <f t="shared" si="5"/>
        <v>71008560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771</v>
      </c>
      <c r="H28" s="36">
        <f t="shared" si="2"/>
        <v>0</v>
      </c>
      <c r="I28" s="11">
        <f t="shared" si="3"/>
        <v>-170391000</v>
      </c>
      <c r="J28" s="53">
        <f t="shared" si="4"/>
        <v>-170391000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771</v>
      </c>
      <c r="H29" s="36">
        <f t="shared" si="2"/>
        <v>0</v>
      </c>
      <c r="I29" s="11">
        <f t="shared" si="3"/>
        <v>-385885500</v>
      </c>
      <c r="J29" s="53">
        <f t="shared" si="4"/>
        <v>0</v>
      </c>
      <c r="K29" s="53">
        <f t="shared" si="5"/>
        <v>-385885500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771</v>
      </c>
      <c r="H30" s="36">
        <f t="shared" si="2"/>
        <v>0</v>
      </c>
      <c r="I30" s="11">
        <f t="shared" si="3"/>
        <v>-11565000000</v>
      </c>
      <c r="J30" s="53">
        <f t="shared" si="4"/>
        <v>-11565000000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754</v>
      </c>
      <c r="H31" s="36">
        <f t="shared" si="2"/>
        <v>0</v>
      </c>
      <c r="I31" s="11">
        <f t="shared" si="3"/>
        <v>-2270218600</v>
      </c>
      <c r="J31" s="53">
        <f t="shared" si="4"/>
        <v>0</v>
      </c>
      <c r="K31" s="53">
        <f t="shared" si="5"/>
        <v>-2270218600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752</v>
      </c>
      <c r="H32" s="36">
        <f t="shared" si="2"/>
        <v>0</v>
      </c>
      <c r="I32" s="11">
        <f t="shared" si="3"/>
        <v>-2260436800</v>
      </c>
      <c r="J32" s="53">
        <f t="shared" si="4"/>
        <v>0</v>
      </c>
      <c r="K32" s="53">
        <f t="shared" si="5"/>
        <v>-2260436800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751</v>
      </c>
      <c r="H33" s="36">
        <f t="shared" si="2"/>
        <v>0</v>
      </c>
      <c r="I33" s="11">
        <f t="shared" si="3"/>
        <v>-672520500</v>
      </c>
      <c r="J33" s="53">
        <f t="shared" si="4"/>
        <v>0</v>
      </c>
      <c r="K33" s="53">
        <f t="shared" si="5"/>
        <v>-672520500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751</v>
      </c>
      <c r="H34" s="36">
        <f t="shared" si="2"/>
        <v>0</v>
      </c>
      <c r="I34" s="11">
        <f t="shared" si="3"/>
        <v>0</v>
      </c>
      <c r="J34" s="53">
        <f t="shared" si="4"/>
        <v>751000000</v>
      </c>
      <c r="K34" s="53">
        <f t="shared" si="5"/>
        <v>-751000000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742</v>
      </c>
      <c r="H35" s="36">
        <f t="shared" si="2"/>
        <v>1</v>
      </c>
      <c r="I35" s="11">
        <f t="shared" si="3"/>
        <v>38881752</v>
      </c>
      <c r="J35" s="53">
        <f t="shared" si="4"/>
        <v>-16052283</v>
      </c>
      <c r="K35" s="53">
        <f t="shared" si="5"/>
        <v>54934035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742</v>
      </c>
      <c r="H36" s="36">
        <f t="shared" si="2"/>
        <v>0</v>
      </c>
      <c r="I36" s="11">
        <f t="shared" si="3"/>
        <v>0</v>
      </c>
      <c r="J36" s="53">
        <f t="shared" si="4"/>
        <v>16073946</v>
      </c>
      <c r="K36" s="53">
        <f t="shared" si="5"/>
        <v>-16073946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732</v>
      </c>
      <c r="H37" s="36">
        <f t="shared" si="2"/>
        <v>0</v>
      </c>
      <c r="I37" s="11">
        <f t="shared" si="3"/>
        <v>-40260000</v>
      </c>
      <c r="J37" s="53">
        <f t="shared" si="4"/>
        <v>0</v>
      </c>
      <c r="K37" s="53">
        <f t="shared" si="5"/>
        <v>-40260000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731</v>
      </c>
      <c r="H38" s="36">
        <f t="shared" si="2"/>
        <v>1</v>
      </c>
      <c r="I38" s="11">
        <f t="shared" si="3"/>
        <v>2190000000</v>
      </c>
      <c r="J38" s="53">
        <f t="shared" si="4"/>
        <v>2190000000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730</v>
      </c>
      <c r="H39" s="36">
        <f t="shared" si="2"/>
        <v>1</v>
      </c>
      <c r="I39" s="11">
        <f t="shared" si="3"/>
        <v>1822500000</v>
      </c>
      <c r="J39" s="53">
        <f t="shared" si="4"/>
        <v>1822500000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730</v>
      </c>
      <c r="H40" s="36">
        <f t="shared" si="2"/>
        <v>0</v>
      </c>
      <c r="I40" s="11">
        <f t="shared" si="3"/>
        <v>-36500000</v>
      </c>
      <c r="J40" s="53">
        <f t="shared" si="4"/>
        <v>0</v>
      </c>
      <c r="K40" s="53">
        <f t="shared" si="5"/>
        <v>-36500000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730</v>
      </c>
      <c r="H41" s="36">
        <f t="shared" si="2"/>
        <v>1</v>
      </c>
      <c r="I41" s="11">
        <f t="shared" si="3"/>
        <v>2187000000</v>
      </c>
      <c r="J41" s="53">
        <f t="shared" si="4"/>
        <v>0</v>
      </c>
      <c r="K41" s="53">
        <f t="shared" si="5"/>
        <v>2187000000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727</v>
      </c>
      <c r="H42" s="36">
        <f t="shared" si="2"/>
        <v>0</v>
      </c>
      <c r="I42" s="11">
        <f t="shared" si="3"/>
        <v>-64848400</v>
      </c>
      <c r="J42" s="53">
        <f t="shared" si="4"/>
        <v>0</v>
      </c>
      <c r="K42" s="53">
        <f t="shared" si="5"/>
        <v>-64848400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723</v>
      </c>
      <c r="H43" s="36">
        <f t="shared" si="2"/>
        <v>0</v>
      </c>
      <c r="I43" s="11">
        <f t="shared" si="3"/>
        <v>-144600000</v>
      </c>
      <c r="J43" s="53">
        <f t="shared" si="4"/>
        <v>0</v>
      </c>
      <c r="K43" s="53">
        <f t="shared" si="5"/>
        <v>-144600000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721</v>
      </c>
      <c r="H44" s="36">
        <f t="shared" si="2"/>
        <v>0</v>
      </c>
      <c r="I44" s="11">
        <f t="shared" si="3"/>
        <v>-144200000</v>
      </c>
      <c r="J44" s="53">
        <f t="shared" si="4"/>
        <v>0</v>
      </c>
      <c r="K44" s="53">
        <f t="shared" si="5"/>
        <v>-144200000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721</v>
      </c>
      <c r="H45" s="36">
        <f t="shared" si="2"/>
        <v>0</v>
      </c>
      <c r="I45" s="11">
        <f t="shared" si="3"/>
        <v>-403760000</v>
      </c>
      <c r="J45" s="53">
        <f t="shared" si="4"/>
        <v>0</v>
      </c>
      <c r="K45" s="53">
        <f t="shared" si="5"/>
        <v>-403760000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717</v>
      </c>
      <c r="H46" s="36">
        <f t="shared" si="2"/>
        <v>0</v>
      </c>
      <c r="I46" s="11">
        <f t="shared" si="3"/>
        <v>-505843500</v>
      </c>
      <c r="J46" s="53">
        <f t="shared" si="4"/>
        <v>0</v>
      </c>
      <c r="K46" s="53">
        <f t="shared" si="5"/>
        <v>-505843500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711</v>
      </c>
      <c r="H47" s="36">
        <f t="shared" si="2"/>
        <v>1</v>
      </c>
      <c r="I47" s="11">
        <f t="shared" si="3"/>
        <v>29254840</v>
      </c>
      <c r="J47" s="53">
        <f t="shared" si="4"/>
        <v>4766230</v>
      </c>
      <c r="K47" s="53">
        <f t="shared" si="5"/>
        <v>24488610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711</v>
      </c>
      <c r="H48" s="36">
        <f t="shared" si="2"/>
        <v>1</v>
      </c>
      <c r="I48" s="11">
        <f t="shared" si="3"/>
        <v>1210337000</v>
      </c>
      <c r="J48" s="53">
        <f t="shared" si="4"/>
        <v>0</v>
      </c>
      <c r="K48" s="53">
        <f t="shared" si="5"/>
        <v>1210337000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702</v>
      </c>
      <c r="H49" s="36">
        <f t="shared" si="2"/>
        <v>0</v>
      </c>
      <c r="I49" s="11">
        <f t="shared" si="3"/>
        <v>-108810000</v>
      </c>
      <c r="J49" s="53">
        <f t="shared" si="4"/>
        <v>0</v>
      </c>
      <c r="K49" s="53">
        <f t="shared" si="5"/>
        <v>-108810000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702</v>
      </c>
      <c r="H50" s="36">
        <f t="shared" si="2"/>
        <v>0</v>
      </c>
      <c r="I50" s="11">
        <f t="shared" si="3"/>
        <v>-96876000</v>
      </c>
      <c r="J50" s="53">
        <f t="shared" si="4"/>
        <v>0</v>
      </c>
      <c r="K50" s="53">
        <f t="shared" si="5"/>
        <v>-96876000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702</v>
      </c>
      <c r="H51" s="36">
        <f t="shared" si="2"/>
        <v>0</v>
      </c>
      <c r="I51" s="11">
        <f t="shared" si="3"/>
        <v>-519480000</v>
      </c>
      <c r="J51" s="53">
        <f t="shared" si="4"/>
        <v>0</v>
      </c>
      <c r="K51" s="53">
        <f t="shared" si="5"/>
        <v>-519480000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702</v>
      </c>
      <c r="H52" s="36">
        <f t="shared" si="2"/>
        <v>0</v>
      </c>
      <c r="I52" s="11">
        <f t="shared" si="3"/>
        <v>-140400000</v>
      </c>
      <c r="J52" s="53">
        <f t="shared" si="4"/>
        <v>0</v>
      </c>
      <c r="K52" s="53">
        <f t="shared" si="5"/>
        <v>-140400000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701</v>
      </c>
      <c r="H53" s="36">
        <f t="shared" si="2"/>
        <v>0</v>
      </c>
      <c r="I53" s="11">
        <f t="shared" si="3"/>
        <v>-739555000</v>
      </c>
      <c r="J53" s="53">
        <f t="shared" si="4"/>
        <v>0</v>
      </c>
      <c r="K53" s="53">
        <f t="shared" si="5"/>
        <v>-739555000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701</v>
      </c>
      <c r="H54" s="36">
        <f t="shared" si="2"/>
        <v>0</v>
      </c>
      <c r="I54" s="11">
        <f t="shared" si="3"/>
        <v>-140200000</v>
      </c>
      <c r="J54" s="53">
        <f t="shared" si="4"/>
        <v>0</v>
      </c>
      <c r="K54" s="53">
        <f t="shared" si="5"/>
        <v>-140200000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701</v>
      </c>
      <c r="H55" s="36">
        <f t="shared" si="2"/>
        <v>0</v>
      </c>
      <c r="I55" s="11">
        <f t="shared" si="3"/>
        <v>-701350500</v>
      </c>
      <c r="J55" s="53">
        <f t="shared" si="4"/>
        <v>0</v>
      </c>
      <c r="K55" s="53">
        <f t="shared" si="5"/>
        <v>-701350500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701</v>
      </c>
      <c r="H56" s="36">
        <f t="shared" si="2"/>
        <v>0</v>
      </c>
      <c r="I56" s="11">
        <f t="shared" si="3"/>
        <v>-26638000</v>
      </c>
      <c r="J56" s="53">
        <f t="shared" si="4"/>
        <v>0</v>
      </c>
      <c r="K56" s="53">
        <f t="shared" si="5"/>
        <v>-26638000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701</v>
      </c>
      <c r="H57" s="36">
        <f t="shared" si="2"/>
        <v>0</v>
      </c>
      <c r="I57" s="11">
        <f t="shared" si="3"/>
        <v>-73605000</v>
      </c>
      <c r="J57" s="53">
        <f t="shared" si="4"/>
        <v>0</v>
      </c>
      <c r="K57" s="53">
        <f t="shared" si="5"/>
        <v>-73605000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701</v>
      </c>
      <c r="H58" s="36">
        <f t="shared" si="2"/>
        <v>0</v>
      </c>
      <c r="I58" s="11">
        <f t="shared" si="3"/>
        <v>-42060000</v>
      </c>
      <c r="J58" s="53">
        <f t="shared" si="4"/>
        <v>0</v>
      </c>
      <c r="K58" s="53">
        <f t="shared" si="5"/>
        <v>-42060000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698</v>
      </c>
      <c r="H59" s="36">
        <f t="shared" si="2"/>
        <v>1</v>
      </c>
      <c r="I59" s="11">
        <f t="shared" si="3"/>
        <v>697000000</v>
      </c>
      <c r="J59" s="53">
        <f t="shared" si="4"/>
        <v>697000000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697</v>
      </c>
      <c r="H60" s="36">
        <f t="shared" si="2"/>
        <v>1</v>
      </c>
      <c r="I60" s="11">
        <f t="shared" si="3"/>
        <v>2436000000</v>
      </c>
      <c r="J60" s="53">
        <f t="shared" si="4"/>
        <v>2436000000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695</v>
      </c>
      <c r="H61" s="36">
        <f t="shared" si="2"/>
        <v>1</v>
      </c>
      <c r="I61" s="11">
        <f t="shared" si="3"/>
        <v>694000000</v>
      </c>
      <c r="J61" s="53">
        <f t="shared" si="4"/>
        <v>694000000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695</v>
      </c>
      <c r="H62" s="36">
        <f t="shared" si="2"/>
        <v>1</v>
      </c>
      <c r="I62" s="11">
        <f t="shared" si="3"/>
        <v>2082000000</v>
      </c>
      <c r="J62" s="53">
        <f t="shared" si="4"/>
        <v>2082000000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693</v>
      </c>
      <c r="H63" s="36">
        <f t="shared" si="2"/>
        <v>0</v>
      </c>
      <c r="I63" s="11">
        <f t="shared" si="3"/>
        <v>-138600000</v>
      </c>
      <c r="J63" s="53">
        <f t="shared" si="4"/>
        <v>0</v>
      </c>
      <c r="K63" s="53">
        <f t="shared" si="5"/>
        <v>-138600000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688</v>
      </c>
      <c r="H64" s="36">
        <f t="shared" si="2"/>
        <v>0</v>
      </c>
      <c r="I64" s="11">
        <f t="shared" si="3"/>
        <v>-34400000</v>
      </c>
      <c r="J64" s="53">
        <f t="shared" si="4"/>
        <v>0</v>
      </c>
      <c r="K64" s="53">
        <f t="shared" si="5"/>
        <v>-34400000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684</v>
      </c>
      <c r="H65" s="36">
        <f t="shared" si="2"/>
        <v>0</v>
      </c>
      <c r="I65" s="11">
        <f t="shared" si="3"/>
        <v>-136800000</v>
      </c>
      <c r="J65" s="53">
        <f t="shared" si="4"/>
        <v>0</v>
      </c>
      <c r="K65" s="53">
        <f t="shared" si="5"/>
        <v>-136800000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681</v>
      </c>
      <c r="H66" s="36">
        <f t="shared" si="2"/>
        <v>0</v>
      </c>
      <c r="I66" s="11">
        <f t="shared" si="3"/>
        <v>-115770000</v>
      </c>
      <c r="J66" s="53">
        <f t="shared" si="4"/>
        <v>0</v>
      </c>
      <c r="K66" s="53">
        <f t="shared" si="5"/>
        <v>-115770000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680</v>
      </c>
      <c r="H67" s="36">
        <f t="shared" ref="H67:H131" si="8">IF(B67&gt;0,1,0)</f>
        <v>1</v>
      </c>
      <c r="I67" s="11">
        <f t="shared" ref="I67:I119" si="9">B67*(G67-H67)</f>
        <v>62009675</v>
      </c>
      <c r="J67" s="53">
        <f t="shared" ref="J67:J131" si="10">C67*(G67-H67)</f>
        <v>44625917</v>
      </c>
      <c r="K67" s="53">
        <f t="shared" ref="K67:K131" si="11">D67*(G67-H67)</f>
        <v>17383758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662</v>
      </c>
      <c r="H68" s="36">
        <f t="shared" si="8"/>
        <v>0</v>
      </c>
      <c r="I68" s="11">
        <f t="shared" si="9"/>
        <v>-95990000</v>
      </c>
      <c r="J68" s="53">
        <f t="shared" si="10"/>
        <v>0</v>
      </c>
      <c r="K68" s="53">
        <f t="shared" si="11"/>
        <v>-95990000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655</v>
      </c>
      <c r="H69" s="36">
        <f t="shared" si="8"/>
        <v>1</v>
      </c>
      <c r="I69" s="11">
        <f t="shared" si="9"/>
        <v>640920000</v>
      </c>
      <c r="J69" s="53">
        <f t="shared" si="10"/>
        <v>0</v>
      </c>
      <c r="K69" s="53">
        <f t="shared" si="11"/>
        <v>640920000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652</v>
      </c>
      <c r="H70" s="36">
        <f t="shared" si="8"/>
        <v>0</v>
      </c>
      <c r="I70" s="11">
        <f t="shared" si="9"/>
        <v>-29992000</v>
      </c>
      <c r="J70" s="53">
        <f t="shared" si="10"/>
        <v>0</v>
      </c>
      <c r="K70" s="53">
        <f t="shared" si="11"/>
        <v>-29992000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650</v>
      </c>
      <c r="H71" s="36">
        <f t="shared" si="8"/>
        <v>1</v>
      </c>
      <c r="I71" s="11">
        <f t="shared" si="9"/>
        <v>74854362</v>
      </c>
      <c r="J71" s="53">
        <f t="shared" si="10"/>
        <v>67373988</v>
      </c>
      <c r="K71" s="53">
        <f t="shared" si="11"/>
        <v>7480374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649</v>
      </c>
      <c r="H72" s="36">
        <f t="shared" si="8"/>
        <v>0</v>
      </c>
      <c r="I72" s="11">
        <f t="shared" si="9"/>
        <v>-98627881</v>
      </c>
      <c r="J72" s="53">
        <f t="shared" si="10"/>
        <v>0</v>
      </c>
      <c r="K72" s="53">
        <f t="shared" si="11"/>
        <v>-98627881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648</v>
      </c>
      <c r="H73" s="36">
        <f t="shared" si="8"/>
        <v>0</v>
      </c>
      <c r="I73" s="11">
        <f t="shared" si="9"/>
        <v>-521964000</v>
      </c>
      <c r="J73" s="53">
        <f t="shared" si="10"/>
        <v>0</v>
      </c>
      <c r="K73" s="53">
        <f t="shared" si="11"/>
        <v>-521964000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641</v>
      </c>
      <c r="H74" s="36">
        <f t="shared" si="8"/>
        <v>1</v>
      </c>
      <c r="I74" s="11">
        <f t="shared" si="9"/>
        <v>4476800000</v>
      </c>
      <c r="J74" s="53">
        <f t="shared" si="10"/>
        <v>0</v>
      </c>
      <c r="K74" s="53">
        <f t="shared" si="11"/>
        <v>4476800000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640</v>
      </c>
      <c r="H75" s="36">
        <f t="shared" si="8"/>
        <v>1</v>
      </c>
      <c r="I75" s="11">
        <f t="shared" si="9"/>
        <v>1917000000</v>
      </c>
      <c r="J75" s="53">
        <f t="shared" si="10"/>
        <v>0</v>
      </c>
      <c r="K75" s="53">
        <f t="shared" si="11"/>
        <v>1917000000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638</v>
      </c>
      <c r="H76" s="36">
        <f t="shared" si="8"/>
        <v>1</v>
      </c>
      <c r="I76" s="11">
        <f t="shared" si="9"/>
        <v>1911000000</v>
      </c>
      <c r="J76" s="53">
        <f t="shared" si="10"/>
        <v>0</v>
      </c>
      <c r="K76" s="53">
        <f t="shared" si="11"/>
        <v>1911000000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637</v>
      </c>
      <c r="H77" s="36">
        <f t="shared" si="8"/>
        <v>1</v>
      </c>
      <c r="I77" s="11">
        <f t="shared" si="9"/>
        <v>1908000000</v>
      </c>
      <c r="J77" s="53">
        <f t="shared" si="10"/>
        <v>0</v>
      </c>
      <c r="K77" s="53">
        <f t="shared" si="11"/>
        <v>1908000000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636</v>
      </c>
      <c r="H78" s="36">
        <f t="shared" si="8"/>
        <v>0</v>
      </c>
      <c r="I78" s="11">
        <f t="shared" si="9"/>
        <v>-2035200000</v>
      </c>
      <c r="J78" s="53">
        <f t="shared" si="10"/>
        <v>-2035200000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635</v>
      </c>
      <c r="H79" s="36">
        <f t="shared" si="8"/>
        <v>0</v>
      </c>
      <c r="I79" s="11">
        <f t="shared" si="9"/>
        <v>-508000000</v>
      </c>
      <c r="J79" s="53">
        <f t="shared" si="10"/>
        <v>-508000000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634</v>
      </c>
      <c r="H80" s="36">
        <f t="shared" si="8"/>
        <v>0</v>
      </c>
      <c r="I80" s="11">
        <f t="shared" si="9"/>
        <v>-30681162</v>
      </c>
      <c r="J80" s="53">
        <f t="shared" si="10"/>
        <v>0</v>
      </c>
      <c r="K80" s="53">
        <f t="shared" si="11"/>
        <v>-30681162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633</v>
      </c>
      <c r="H81" s="36">
        <f t="shared" si="8"/>
        <v>0</v>
      </c>
      <c r="I81" s="11">
        <f t="shared" si="9"/>
        <v>-88620000</v>
      </c>
      <c r="J81" s="53">
        <f t="shared" si="10"/>
        <v>0</v>
      </c>
      <c r="K81" s="53">
        <f t="shared" si="11"/>
        <v>-88620000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632</v>
      </c>
      <c r="H82" s="36">
        <f t="shared" si="8"/>
        <v>0</v>
      </c>
      <c r="I82" s="11">
        <f t="shared" si="9"/>
        <v>-158000000</v>
      </c>
      <c r="J82" s="53">
        <f t="shared" si="10"/>
        <v>0</v>
      </c>
      <c r="K82" s="53">
        <f t="shared" si="11"/>
        <v>-158000000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631</v>
      </c>
      <c r="H83" s="36">
        <f t="shared" si="8"/>
        <v>0</v>
      </c>
      <c r="I83" s="11">
        <f t="shared" si="9"/>
        <v>-126200000</v>
      </c>
      <c r="J83" s="53">
        <f t="shared" si="10"/>
        <v>0</v>
      </c>
      <c r="K83" s="53">
        <f t="shared" si="11"/>
        <v>-126200000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628</v>
      </c>
      <c r="H84" s="36">
        <f t="shared" si="8"/>
        <v>1</v>
      </c>
      <c r="I84" s="11">
        <f t="shared" si="9"/>
        <v>1025270400</v>
      </c>
      <c r="J84" s="53">
        <f t="shared" si="10"/>
        <v>0</v>
      </c>
      <c r="K84" s="53">
        <f t="shared" si="11"/>
        <v>1025270400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624</v>
      </c>
      <c r="H85" s="36">
        <f t="shared" si="8"/>
        <v>1</v>
      </c>
      <c r="I85" s="11">
        <f t="shared" si="9"/>
        <v>1557500000</v>
      </c>
      <c r="J85" s="53">
        <f t="shared" si="10"/>
        <v>0</v>
      </c>
      <c r="K85" s="53">
        <f t="shared" si="11"/>
        <v>1557500000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620</v>
      </c>
      <c r="H86" s="36">
        <f t="shared" si="8"/>
        <v>1</v>
      </c>
      <c r="I86" s="11">
        <f t="shared" si="9"/>
        <v>115319700</v>
      </c>
      <c r="J86" s="53">
        <f t="shared" si="10"/>
        <v>52584050</v>
      </c>
      <c r="K86" s="53">
        <f t="shared" si="11"/>
        <v>62735650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617</v>
      </c>
      <c r="H87" s="36">
        <f t="shared" si="8"/>
        <v>0</v>
      </c>
      <c r="I87" s="11">
        <f t="shared" si="9"/>
        <v>-123400000</v>
      </c>
      <c r="J87" s="53">
        <f t="shared" si="10"/>
        <v>0</v>
      </c>
      <c r="K87" s="53">
        <f t="shared" si="11"/>
        <v>-123400000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616</v>
      </c>
      <c r="H88" s="36">
        <f t="shared" si="8"/>
        <v>0</v>
      </c>
      <c r="I88" s="11">
        <f t="shared" si="9"/>
        <v>-72688000</v>
      </c>
      <c r="J88" s="53">
        <f t="shared" si="10"/>
        <v>-42504000</v>
      </c>
      <c r="K88" s="53">
        <f t="shared" si="11"/>
        <v>-30184000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608</v>
      </c>
      <c r="H89" s="36">
        <f t="shared" si="8"/>
        <v>0</v>
      </c>
      <c r="I89" s="11">
        <f t="shared" si="9"/>
        <v>-1946147200</v>
      </c>
      <c r="J89" s="53">
        <f t="shared" si="10"/>
        <v>0</v>
      </c>
      <c r="K89" s="53">
        <f t="shared" si="11"/>
        <v>-1946147200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607</v>
      </c>
      <c r="H90" s="36">
        <f t="shared" si="8"/>
        <v>0</v>
      </c>
      <c r="I90" s="11">
        <f t="shared" si="9"/>
        <v>-1942946300</v>
      </c>
      <c r="J90" s="53">
        <f t="shared" si="10"/>
        <v>0</v>
      </c>
      <c r="K90" s="53">
        <f t="shared" si="11"/>
        <v>-1942946300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606</v>
      </c>
      <c r="H91" s="36">
        <f t="shared" si="8"/>
        <v>0</v>
      </c>
      <c r="I91" s="11">
        <f t="shared" si="9"/>
        <v>-1939745400</v>
      </c>
      <c r="J91" s="53">
        <f t="shared" si="10"/>
        <v>0</v>
      </c>
      <c r="K91" s="53">
        <f t="shared" si="11"/>
        <v>-1939745400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605</v>
      </c>
      <c r="H92" s="36">
        <f t="shared" si="8"/>
        <v>0</v>
      </c>
      <c r="I92" s="11">
        <f t="shared" si="9"/>
        <v>-1936544500</v>
      </c>
      <c r="J92" s="53">
        <f t="shared" si="10"/>
        <v>0</v>
      </c>
      <c r="K92" s="53">
        <f t="shared" si="11"/>
        <v>-1936544500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604</v>
      </c>
      <c r="H93" s="36">
        <f t="shared" si="8"/>
        <v>0</v>
      </c>
      <c r="I93" s="11">
        <f t="shared" si="9"/>
        <v>-1933343600</v>
      </c>
      <c r="J93" s="53">
        <f t="shared" si="10"/>
        <v>0</v>
      </c>
      <c r="K93" s="53">
        <f t="shared" si="11"/>
        <v>-1933343600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603</v>
      </c>
      <c r="H94" s="36">
        <f t="shared" si="8"/>
        <v>0</v>
      </c>
      <c r="I94" s="11">
        <f t="shared" si="9"/>
        <v>-1930142700</v>
      </c>
      <c r="J94" s="53">
        <f t="shared" si="10"/>
        <v>0</v>
      </c>
      <c r="K94" s="53">
        <f t="shared" si="11"/>
        <v>-1930142700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601</v>
      </c>
      <c r="H95" s="36">
        <f t="shared" si="8"/>
        <v>0</v>
      </c>
      <c r="I95" s="11">
        <f t="shared" si="9"/>
        <v>-719154196</v>
      </c>
      <c r="J95" s="53">
        <f t="shared" si="10"/>
        <v>0</v>
      </c>
      <c r="K95" s="53">
        <f t="shared" si="11"/>
        <v>-719154196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591</v>
      </c>
      <c r="H96" s="36">
        <f t="shared" si="8"/>
        <v>0</v>
      </c>
      <c r="I96" s="11">
        <f t="shared" si="9"/>
        <v>-118200000</v>
      </c>
      <c r="J96" s="53">
        <f t="shared" si="10"/>
        <v>0</v>
      </c>
      <c r="K96" s="53">
        <f t="shared" si="11"/>
        <v>-118200000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590</v>
      </c>
      <c r="H97" s="36">
        <f t="shared" si="8"/>
        <v>1</v>
      </c>
      <c r="I97" s="11">
        <f t="shared" si="9"/>
        <v>93979662</v>
      </c>
      <c r="J97" s="53">
        <f t="shared" si="10"/>
        <v>40597414</v>
      </c>
      <c r="K97" s="53">
        <f t="shared" si="11"/>
        <v>53382248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585</v>
      </c>
      <c r="H98" s="36">
        <f t="shared" si="8"/>
        <v>1</v>
      </c>
      <c r="I98" s="11">
        <f t="shared" si="9"/>
        <v>66790912</v>
      </c>
      <c r="J98" s="53">
        <f t="shared" si="10"/>
        <v>0</v>
      </c>
      <c r="K98" s="53">
        <f t="shared" si="11"/>
        <v>66790912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582</v>
      </c>
      <c r="H99" s="36">
        <f t="shared" si="8"/>
        <v>0</v>
      </c>
      <c r="I99" s="11">
        <f t="shared" si="9"/>
        <v>-771150000</v>
      </c>
      <c r="J99" s="53">
        <f t="shared" si="10"/>
        <v>0</v>
      </c>
      <c r="K99" s="53">
        <f t="shared" si="11"/>
        <v>-771150000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577</v>
      </c>
      <c r="H100" s="36">
        <f t="shared" si="8"/>
        <v>1</v>
      </c>
      <c r="I100" s="11">
        <f t="shared" si="9"/>
        <v>763200000</v>
      </c>
      <c r="J100" s="53">
        <f t="shared" si="10"/>
        <v>0</v>
      </c>
      <c r="K100" s="53">
        <f t="shared" si="11"/>
        <v>763200000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560</v>
      </c>
      <c r="H101" s="36">
        <f t="shared" si="8"/>
        <v>1</v>
      </c>
      <c r="I101" s="11">
        <f t="shared" si="9"/>
        <v>37366355</v>
      </c>
      <c r="J101" s="53">
        <f t="shared" si="10"/>
        <v>37366355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557</v>
      </c>
      <c r="H102" s="36">
        <f t="shared" si="8"/>
        <v>1</v>
      </c>
      <c r="I102" s="11">
        <f t="shared" si="9"/>
        <v>1668000000</v>
      </c>
      <c r="J102" s="53">
        <f t="shared" si="10"/>
        <v>0</v>
      </c>
      <c r="K102" s="53">
        <f t="shared" si="11"/>
        <v>1668000000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550</v>
      </c>
      <c r="H103" s="36">
        <f t="shared" si="8"/>
        <v>0</v>
      </c>
      <c r="I103" s="11">
        <f t="shared" si="9"/>
        <v>-550000000</v>
      </c>
      <c r="J103" s="53">
        <f t="shared" si="10"/>
        <v>-550000000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540</v>
      </c>
      <c r="H104" s="36">
        <f t="shared" si="8"/>
        <v>1</v>
      </c>
      <c r="I104" s="11">
        <f t="shared" si="9"/>
        <v>1617000000</v>
      </c>
      <c r="J104" s="53">
        <f t="shared" si="10"/>
        <v>1617000000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539</v>
      </c>
      <c r="H105" s="36">
        <f t="shared" si="8"/>
        <v>1</v>
      </c>
      <c r="I105" s="11">
        <f t="shared" si="9"/>
        <v>602560000</v>
      </c>
      <c r="J105" s="53">
        <f t="shared" si="10"/>
        <v>602560000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539</v>
      </c>
      <c r="H106" s="36">
        <f t="shared" si="8"/>
        <v>0</v>
      </c>
      <c r="I106" s="11">
        <f t="shared" si="9"/>
        <v>-1617000000</v>
      </c>
      <c r="J106" s="53">
        <f t="shared" si="10"/>
        <v>0</v>
      </c>
      <c r="K106" s="53">
        <f t="shared" si="11"/>
        <v>-1617000000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530</v>
      </c>
      <c r="H107" s="36">
        <f t="shared" si="8"/>
        <v>1</v>
      </c>
      <c r="I107" s="11">
        <f t="shared" si="9"/>
        <v>47871326</v>
      </c>
      <c r="J107" s="53">
        <f t="shared" si="10"/>
        <v>39735835</v>
      </c>
      <c r="K107" s="53">
        <f t="shared" si="11"/>
        <v>8135491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528</v>
      </c>
      <c r="H108" s="36">
        <f t="shared" si="8"/>
        <v>0</v>
      </c>
      <c r="I108" s="11">
        <f t="shared" si="9"/>
        <v>-897969600</v>
      </c>
      <c r="J108" s="53">
        <f t="shared" si="10"/>
        <v>0</v>
      </c>
      <c r="K108" s="53">
        <f t="shared" si="11"/>
        <v>-897969600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524</v>
      </c>
      <c r="H109" s="36">
        <f t="shared" si="8"/>
        <v>0</v>
      </c>
      <c r="I109" s="11">
        <f t="shared" si="9"/>
        <v>-524262000</v>
      </c>
      <c r="J109" s="53">
        <f t="shared" si="10"/>
        <v>0</v>
      </c>
      <c r="K109" s="53">
        <f t="shared" si="11"/>
        <v>-524262000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521</v>
      </c>
      <c r="H110" s="36">
        <f t="shared" si="8"/>
        <v>1</v>
      </c>
      <c r="I110" s="11">
        <f t="shared" si="9"/>
        <v>10400000000</v>
      </c>
      <c r="J110" s="53">
        <f t="shared" si="10"/>
        <v>0</v>
      </c>
      <c r="K110" s="53">
        <f t="shared" si="11"/>
        <v>10400000000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501</v>
      </c>
      <c r="H111" s="36">
        <f t="shared" si="8"/>
        <v>1</v>
      </c>
      <c r="I111" s="11">
        <f t="shared" si="9"/>
        <v>87339000</v>
      </c>
      <c r="J111" s="53">
        <f t="shared" si="10"/>
        <v>43681500</v>
      </c>
      <c r="K111" s="53">
        <f t="shared" si="11"/>
        <v>43657500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485</v>
      </c>
      <c r="H112" s="36">
        <f t="shared" si="8"/>
        <v>0</v>
      </c>
      <c r="I112" s="11">
        <f t="shared" si="9"/>
        <v>-13774000000</v>
      </c>
      <c r="J112" s="53">
        <f t="shared" si="10"/>
        <v>0</v>
      </c>
      <c r="K112" s="53">
        <f t="shared" si="11"/>
        <v>-13774000000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470</v>
      </c>
      <c r="H113" s="36">
        <f t="shared" si="8"/>
        <v>1</v>
      </c>
      <c r="I113" s="11">
        <f t="shared" si="9"/>
        <v>76465760</v>
      </c>
      <c r="J113" s="53">
        <f t="shared" si="10"/>
        <v>57457659</v>
      </c>
      <c r="K113" s="53">
        <f t="shared" si="11"/>
        <v>19008101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470</v>
      </c>
      <c r="H114" s="36">
        <f t="shared" si="8"/>
        <v>0</v>
      </c>
      <c r="I114" s="11">
        <f t="shared" si="9"/>
        <v>-2679000</v>
      </c>
      <c r="J114" s="53">
        <f t="shared" si="10"/>
        <v>-1175000</v>
      </c>
      <c r="K114" s="53">
        <f t="shared" si="11"/>
        <v>-1504000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457</v>
      </c>
      <c r="H115" s="36">
        <f t="shared" si="8"/>
        <v>0</v>
      </c>
      <c r="I115" s="11">
        <f t="shared" si="9"/>
        <v>0</v>
      </c>
      <c r="J115" s="53">
        <f t="shared" si="10"/>
        <v>228500000</v>
      </c>
      <c r="K115" s="53">
        <f t="shared" si="11"/>
        <v>-228500000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449</v>
      </c>
      <c r="H116" s="36">
        <f t="shared" si="8"/>
        <v>0</v>
      </c>
      <c r="I116" s="11">
        <f t="shared" si="9"/>
        <v>-71840000</v>
      </c>
      <c r="J116" s="53">
        <f t="shared" si="10"/>
        <v>0</v>
      </c>
      <c r="K116" s="53">
        <f t="shared" si="11"/>
        <v>-71840000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440</v>
      </c>
      <c r="H117" s="36">
        <f t="shared" si="8"/>
        <v>1</v>
      </c>
      <c r="I117" s="11">
        <f t="shared" si="9"/>
        <v>649720</v>
      </c>
      <c r="J117" s="53">
        <f t="shared" si="10"/>
        <v>46947099</v>
      </c>
      <c r="K117" s="53">
        <f t="shared" si="11"/>
        <v>-46297379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418</v>
      </c>
      <c r="H118" s="36">
        <f t="shared" si="8"/>
        <v>1</v>
      </c>
      <c r="I118" s="11">
        <f t="shared" si="9"/>
        <v>16429591500</v>
      </c>
      <c r="J118" s="53">
        <f t="shared" si="10"/>
        <v>0</v>
      </c>
      <c r="K118" s="53">
        <f t="shared" si="11"/>
        <v>16429591500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409</v>
      </c>
      <c r="H119" s="36">
        <f t="shared" si="8"/>
        <v>1</v>
      </c>
      <c r="I119" s="11">
        <f t="shared" si="9"/>
        <v>38972568</v>
      </c>
      <c r="J119" s="53">
        <f t="shared" si="10"/>
        <v>44902032</v>
      </c>
      <c r="K119" s="53">
        <f t="shared" si="11"/>
        <v>-5929464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405</v>
      </c>
      <c r="H120" s="11">
        <f t="shared" si="8"/>
        <v>1</v>
      </c>
      <c r="I120" s="11">
        <f t="shared" ref="I120:I206" si="13">B120*(G120-H120)</f>
        <v>808000000</v>
      </c>
      <c r="J120" s="11">
        <f t="shared" si="10"/>
        <v>0</v>
      </c>
      <c r="K120" s="11">
        <f t="shared" si="11"/>
        <v>808000000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379</v>
      </c>
      <c r="H121" s="11">
        <f t="shared" si="8"/>
        <v>1</v>
      </c>
      <c r="I121" s="11">
        <f t="shared" si="13"/>
        <v>982800000</v>
      </c>
      <c r="J121" s="11">
        <f t="shared" si="10"/>
        <v>0</v>
      </c>
      <c r="K121" s="11">
        <f t="shared" si="11"/>
        <v>982800000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378</v>
      </c>
      <c r="H122" s="11">
        <f t="shared" si="8"/>
        <v>1</v>
      </c>
      <c r="I122" s="11">
        <f t="shared" si="13"/>
        <v>144975727</v>
      </c>
      <c r="J122" s="11">
        <f t="shared" si="10"/>
        <v>41812316</v>
      </c>
      <c r="K122" s="11">
        <f t="shared" si="11"/>
        <v>103163411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377</v>
      </c>
      <c r="H123" s="11">
        <f t="shared" si="8"/>
        <v>0</v>
      </c>
      <c r="I123" s="11">
        <f t="shared" si="13"/>
        <v>0</v>
      </c>
      <c r="J123" s="11">
        <f t="shared" si="10"/>
        <v>301600000</v>
      </c>
      <c r="K123" s="11">
        <f t="shared" si="11"/>
        <v>-301600000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363</v>
      </c>
      <c r="H124" s="11">
        <f t="shared" si="8"/>
        <v>0</v>
      </c>
      <c r="I124" s="11">
        <f t="shared" si="13"/>
        <v>-1089000000</v>
      </c>
      <c r="J124" s="11">
        <f t="shared" si="10"/>
        <v>0</v>
      </c>
      <c r="K124" s="11">
        <f t="shared" si="11"/>
        <v>-1089000000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348</v>
      </c>
      <c r="H125" s="11">
        <f t="shared" si="8"/>
        <v>1</v>
      </c>
      <c r="I125" s="11">
        <f t="shared" si="13"/>
        <v>139046370</v>
      </c>
      <c r="J125" s="11">
        <f t="shared" si="10"/>
        <v>41249625</v>
      </c>
      <c r="K125" s="11">
        <f t="shared" si="11"/>
        <v>97796745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348</v>
      </c>
      <c r="H126" s="11">
        <f t="shared" si="8"/>
        <v>1</v>
      </c>
      <c r="I126" s="11">
        <f t="shared" si="13"/>
        <v>14574000000</v>
      </c>
      <c r="J126" s="11">
        <f t="shared" si="10"/>
        <v>0</v>
      </c>
      <c r="K126" s="11">
        <f t="shared" si="11"/>
        <v>14574000000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323</v>
      </c>
      <c r="H127" s="11">
        <f t="shared" si="8"/>
        <v>0</v>
      </c>
      <c r="I127" s="11">
        <f t="shared" si="13"/>
        <v>-1615000</v>
      </c>
      <c r="J127" s="11">
        <f t="shared" si="10"/>
        <v>0</v>
      </c>
      <c r="K127" s="11">
        <f t="shared" si="11"/>
        <v>-1615000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317</v>
      </c>
      <c r="H128" s="11">
        <f t="shared" si="8"/>
        <v>1</v>
      </c>
      <c r="I128" s="11">
        <f t="shared" si="13"/>
        <v>243754184</v>
      </c>
      <c r="J128" s="11">
        <f t="shared" si="10"/>
        <v>38140252</v>
      </c>
      <c r="K128" s="11">
        <f t="shared" si="11"/>
        <v>205613932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314</v>
      </c>
      <c r="H129" s="11">
        <f t="shared" si="8"/>
        <v>1</v>
      </c>
      <c r="I129" s="11">
        <f t="shared" si="13"/>
        <v>782500000</v>
      </c>
      <c r="J129" s="11">
        <f t="shared" si="10"/>
        <v>0</v>
      </c>
      <c r="K129" s="11">
        <f t="shared" si="11"/>
        <v>782500000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300</v>
      </c>
      <c r="H130" s="11">
        <f t="shared" si="8"/>
        <v>0</v>
      </c>
      <c r="I130" s="11">
        <f t="shared" si="13"/>
        <v>-300000000</v>
      </c>
      <c r="J130" s="11">
        <f t="shared" si="10"/>
        <v>-300000000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295</v>
      </c>
      <c r="H131" s="11">
        <f t="shared" si="8"/>
        <v>0</v>
      </c>
      <c r="I131" s="11">
        <f t="shared" si="13"/>
        <v>-14750000000</v>
      </c>
      <c r="J131" s="11">
        <f t="shared" si="10"/>
        <v>0</v>
      </c>
      <c r="K131" s="11">
        <f t="shared" si="11"/>
        <v>-14750000000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287</v>
      </c>
      <c r="H132" s="11">
        <f t="shared" ref="H132:H206" si="15">IF(B132&gt;0,1,0)</f>
        <v>1</v>
      </c>
      <c r="I132" s="11">
        <f t="shared" si="13"/>
        <v>175686082</v>
      </c>
      <c r="J132" s="11">
        <f t="shared" ref="J132:J206" si="16">C132*(G132-H132)</f>
        <v>30307706</v>
      </c>
      <c r="K132" s="11">
        <f t="shared" ref="K132:K206" si="17">D132*(G132-H132)</f>
        <v>145378376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283</v>
      </c>
      <c r="H133" s="11">
        <f t="shared" si="15"/>
        <v>0</v>
      </c>
      <c r="I133" s="11">
        <f t="shared" si="13"/>
        <v>-342628100</v>
      </c>
      <c r="J133" s="11">
        <f t="shared" si="16"/>
        <v>0</v>
      </c>
      <c r="K133" s="11">
        <f t="shared" si="17"/>
        <v>-342628100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274</v>
      </c>
      <c r="H134" s="11">
        <f t="shared" si="15"/>
        <v>0</v>
      </c>
      <c r="I134" s="11">
        <f t="shared" si="13"/>
        <v>-17810000</v>
      </c>
      <c r="J134" s="11">
        <f t="shared" si="16"/>
        <v>0</v>
      </c>
      <c r="K134" s="11">
        <f t="shared" si="17"/>
        <v>-17810000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274</v>
      </c>
      <c r="H135" s="11">
        <f t="shared" si="15"/>
        <v>0</v>
      </c>
      <c r="I135" s="11">
        <f t="shared" si="13"/>
        <v>-8850200</v>
      </c>
      <c r="J135" s="11">
        <f t="shared" si="16"/>
        <v>0</v>
      </c>
      <c r="K135" s="11">
        <f t="shared" si="17"/>
        <v>-8850200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266</v>
      </c>
      <c r="H136" s="11">
        <f t="shared" si="15"/>
        <v>0</v>
      </c>
      <c r="I136" s="11">
        <f t="shared" si="13"/>
        <v>-266000000</v>
      </c>
      <c r="J136" s="11">
        <f t="shared" si="16"/>
        <v>-266000000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257</v>
      </c>
      <c r="H137" s="11">
        <f t="shared" si="15"/>
        <v>1</v>
      </c>
      <c r="I137" s="11">
        <f t="shared" si="13"/>
        <v>74463488</v>
      </c>
      <c r="J137" s="11">
        <f t="shared" si="16"/>
        <v>24923904</v>
      </c>
      <c r="K137" s="11">
        <f t="shared" si="17"/>
        <v>49539584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240</v>
      </c>
      <c r="H138" s="11">
        <f t="shared" si="15"/>
        <v>0</v>
      </c>
      <c r="I138" s="11">
        <f t="shared" si="13"/>
        <v>-240120000</v>
      </c>
      <c r="J138" s="11">
        <f t="shared" si="16"/>
        <v>-240120000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228</v>
      </c>
      <c r="H139" s="11">
        <f t="shared" si="15"/>
        <v>1</v>
      </c>
      <c r="I139" s="11">
        <f t="shared" si="13"/>
        <v>64068480</v>
      </c>
      <c r="J139" s="11">
        <f t="shared" si="16"/>
        <v>20159189</v>
      </c>
      <c r="K139" s="11">
        <f t="shared" si="17"/>
        <v>43909291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225</v>
      </c>
      <c r="H140" s="11">
        <f t="shared" si="15"/>
        <v>1</v>
      </c>
      <c r="I140" s="11">
        <f t="shared" si="13"/>
        <v>336000000</v>
      </c>
      <c r="J140" s="11">
        <f t="shared" si="16"/>
        <v>0</v>
      </c>
      <c r="K140" s="11">
        <f t="shared" si="17"/>
        <v>336000000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212</v>
      </c>
      <c r="H141" s="11">
        <f t="shared" si="15"/>
        <v>0</v>
      </c>
      <c r="I141" s="11">
        <f t="shared" si="13"/>
        <v>0</v>
      </c>
      <c r="J141" s="11">
        <f t="shared" si="16"/>
        <v>-212000000</v>
      </c>
      <c r="K141" s="11">
        <f t="shared" si="17"/>
        <v>212000000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198</v>
      </c>
      <c r="H142" s="11">
        <f t="shared" si="15"/>
        <v>1</v>
      </c>
      <c r="I142" s="11">
        <f t="shared" si="13"/>
        <v>57305921</v>
      </c>
      <c r="J142" s="11">
        <f t="shared" si="16"/>
        <v>15961334</v>
      </c>
      <c r="K142" s="11">
        <f t="shared" si="17"/>
        <v>41344587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178</v>
      </c>
      <c r="H143" s="11">
        <f t="shared" si="15"/>
        <v>0</v>
      </c>
      <c r="I143" s="11">
        <f t="shared" si="13"/>
        <v>0</v>
      </c>
      <c r="J143" s="11">
        <f t="shared" si="16"/>
        <v>-178000000</v>
      </c>
      <c r="K143" s="11">
        <f t="shared" si="17"/>
        <v>178000000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168</v>
      </c>
      <c r="H144" s="11">
        <f t="shared" si="15"/>
        <v>1</v>
      </c>
      <c r="I144" s="11">
        <f t="shared" si="13"/>
        <v>49240284</v>
      </c>
      <c r="J144" s="11">
        <f t="shared" si="16"/>
        <v>12467719</v>
      </c>
      <c r="K144" s="11">
        <f t="shared" si="17"/>
        <v>36772565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153</v>
      </c>
      <c r="H145" s="11">
        <f t="shared" si="15"/>
        <v>0</v>
      </c>
      <c r="I145" s="11">
        <f t="shared" si="13"/>
        <v>-1530000</v>
      </c>
      <c r="J145" s="11">
        <f t="shared" si="16"/>
        <v>-765000</v>
      </c>
      <c r="K145" s="11">
        <f t="shared" si="17"/>
        <v>-765000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148</v>
      </c>
      <c r="H146" s="11">
        <f t="shared" si="15"/>
        <v>0</v>
      </c>
      <c r="I146" s="11">
        <f t="shared" si="13"/>
        <v>-148074000</v>
      </c>
      <c r="J146" s="11">
        <f t="shared" si="16"/>
        <v>-148074000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142</v>
      </c>
      <c r="H147" s="11">
        <f t="shared" si="15"/>
        <v>0</v>
      </c>
      <c r="I147" s="11">
        <f t="shared" si="13"/>
        <v>-3834000000</v>
      </c>
      <c r="J147" s="11">
        <f t="shared" si="16"/>
        <v>0</v>
      </c>
      <c r="K147" s="11">
        <f t="shared" si="17"/>
        <v>-3834000000</v>
      </c>
    </row>
    <row r="148" spans="1:11" x14ac:dyDescent="0.25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139</v>
      </c>
      <c r="H148" s="11">
        <f t="shared" si="15"/>
        <v>1</v>
      </c>
      <c r="I148" s="11">
        <f t="shared" si="13"/>
        <v>34836168</v>
      </c>
      <c r="J148" s="11">
        <f t="shared" si="16"/>
        <v>9040380</v>
      </c>
      <c r="K148" s="11">
        <f t="shared" si="17"/>
        <v>25795788</v>
      </c>
    </row>
    <row r="149" spans="1:11" x14ac:dyDescent="0.25">
      <c r="A149" s="11" t="s">
        <v>1086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1087</v>
      </c>
      <c r="F149" s="11">
        <v>7</v>
      </c>
      <c r="G149" s="36">
        <f t="shared" si="14"/>
        <v>131</v>
      </c>
      <c r="H149" s="11">
        <f t="shared" si="15"/>
        <v>1</v>
      </c>
      <c r="I149" s="11">
        <f t="shared" si="13"/>
        <v>6812000000</v>
      </c>
      <c r="J149" s="11">
        <f t="shared" si="16"/>
        <v>0</v>
      </c>
      <c r="K149" s="11">
        <f t="shared" si="17"/>
        <v>6812000000</v>
      </c>
    </row>
    <row r="150" spans="1:11" x14ac:dyDescent="0.25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124</v>
      </c>
      <c r="H150" s="11">
        <f t="shared" si="15"/>
        <v>0</v>
      </c>
      <c r="I150" s="11">
        <f t="shared" si="13"/>
        <v>-6448000000</v>
      </c>
      <c r="J150" s="11">
        <f t="shared" si="16"/>
        <v>0</v>
      </c>
      <c r="K150" s="11">
        <f t="shared" si="17"/>
        <v>-6448000000</v>
      </c>
    </row>
    <row r="151" spans="1:11" x14ac:dyDescent="0.25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119</v>
      </c>
      <c r="H151" s="105">
        <f t="shared" si="15"/>
        <v>0</v>
      </c>
      <c r="I151" s="105">
        <f t="shared" si="13"/>
        <v>-952000000</v>
      </c>
      <c r="J151" s="105">
        <f t="shared" si="16"/>
        <v>-805883589</v>
      </c>
      <c r="K151" s="11">
        <f t="shared" si="17"/>
        <v>-146116411</v>
      </c>
    </row>
    <row r="152" spans="1:11" x14ac:dyDescent="0.25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119</v>
      </c>
      <c r="H152" s="105">
        <f t="shared" si="15"/>
        <v>0</v>
      </c>
      <c r="I152" s="105">
        <f t="shared" si="13"/>
        <v>-3716370</v>
      </c>
      <c r="J152" s="105">
        <f t="shared" si="16"/>
        <v>0</v>
      </c>
      <c r="K152" s="105">
        <f t="shared" si="17"/>
        <v>-3716370</v>
      </c>
    </row>
    <row r="153" spans="1:11" x14ac:dyDescent="0.25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108</v>
      </c>
      <c r="H153" s="105">
        <f t="shared" si="15"/>
        <v>1</v>
      </c>
      <c r="I153" s="105">
        <f t="shared" si="13"/>
        <v>14454309</v>
      </c>
      <c r="J153" s="105">
        <f t="shared" si="16"/>
        <v>4400910</v>
      </c>
      <c r="K153" s="105">
        <f t="shared" si="17"/>
        <v>10053399</v>
      </c>
    </row>
    <row r="154" spans="1:11" x14ac:dyDescent="0.25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105</v>
      </c>
      <c r="H154" s="105">
        <f t="shared" si="15"/>
        <v>1</v>
      </c>
      <c r="I154" s="105">
        <f t="shared" si="13"/>
        <v>709704528</v>
      </c>
      <c r="J154" s="105">
        <f t="shared" si="16"/>
        <v>709704528</v>
      </c>
      <c r="K154" s="105">
        <f t="shared" si="17"/>
        <v>0</v>
      </c>
    </row>
    <row r="155" spans="1:11" x14ac:dyDescent="0.25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100</v>
      </c>
      <c r="H155" s="105">
        <f t="shared" si="15"/>
        <v>0</v>
      </c>
      <c r="I155" s="105">
        <f t="shared" si="13"/>
        <v>-20000000</v>
      </c>
      <c r="J155" s="105">
        <f t="shared" si="16"/>
        <v>0</v>
      </c>
      <c r="K155" s="105">
        <f t="shared" si="17"/>
        <v>-20000000</v>
      </c>
    </row>
    <row r="156" spans="1:11" x14ac:dyDescent="0.25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100</v>
      </c>
      <c r="H156" s="105">
        <f t="shared" si="15"/>
        <v>0</v>
      </c>
      <c r="I156" s="105">
        <f t="shared" si="13"/>
        <v>-24784000</v>
      </c>
      <c r="J156" s="105">
        <f t="shared" si="16"/>
        <v>0</v>
      </c>
      <c r="K156" s="105">
        <f t="shared" si="17"/>
        <v>-24784000</v>
      </c>
    </row>
    <row r="157" spans="1:11" x14ac:dyDescent="0.25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99</v>
      </c>
      <c r="H157" s="105">
        <f t="shared" si="15"/>
        <v>0</v>
      </c>
      <c r="I157" s="105">
        <f t="shared" si="13"/>
        <v>-16071660</v>
      </c>
      <c r="J157" s="105">
        <f t="shared" si="16"/>
        <v>0</v>
      </c>
      <c r="K157" s="105">
        <f t="shared" si="17"/>
        <v>-16071660</v>
      </c>
    </row>
    <row r="158" spans="1:11" x14ac:dyDescent="0.25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99</v>
      </c>
      <c r="H158" s="105">
        <f t="shared" si="15"/>
        <v>0</v>
      </c>
      <c r="I158" s="105">
        <f t="shared" si="13"/>
        <v>-297089100</v>
      </c>
      <c r="J158" s="105">
        <f t="shared" si="16"/>
        <v>0</v>
      </c>
      <c r="K158" s="105">
        <f t="shared" si="17"/>
        <v>-297089100</v>
      </c>
    </row>
    <row r="159" spans="1:11" x14ac:dyDescent="0.25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97</v>
      </c>
      <c r="H159" s="105">
        <f t="shared" si="15"/>
        <v>0</v>
      </c>
      <c r="I159" s="105">
        <f t="shared" si="13"/>
        <v>-97048500</v>
      </c>
      <c r="J159" s="105">
        <f t="shared" si="16"/>
        <v>0</v>
      </c>
      <c r="K159" s="105">
        <f t="shared" si="17"/>
        <v>-97048500</v>
      </c>
    </row>
    <row r="160" spans="1:11" x14ac:dyDescent="0.25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93</v>
      </c>
      <c r="H160" s="105">
        <f t="shared" si="15"/>
        <v>0</v>
      </c>
      <c r="I160" s="105">
        <f t="shared" si="13"/>
        <v>-9300000</v>
      </c>
      <c r="J160" s="105">
        <f t="shared" si="16"/>
        <v>0</v>
      </c>
      <c r="K160" s="105">
        <f t="shared" si="17"/>
        <v>-9300000</v>
      </c>
    </row>
    <row r="161" spans="1:13" x14ac:dyDescent="0.25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92</v>
      </c>
      <c r="H161" s="105">
        <f t="shared" si="15"/>
        <v>0</v>
      </c>
      <c r="I161" s="105">
        <f t="shared" si="13"/>
        <v>-184000000</v>
      </c>
      <c r="J161" s="105">
        <f t="shared" si="16"/>
        <v>0</v>
      </c>
      <c r="K161" s="105">
        <f t="shared" si="17"/>
        <v>-184000000</v>
      </c>
    </row>
    <row r="162" spans="1:13" x14ac:dyDescent="0.25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92</v>
      </c>
      <c r="H162" s="105">
        <f t="shared" si="15"/>
        <v>0</v>
      </c>
      <c r="I162" s="105">
        <f t="shared" si="13"/>
        <v>-92046000</v>
      </c>
      <c r="J162" s="105">
        <f t="shared" si="16"/>
        <v>0</v>
      </c>
      <c r="K162" s="105">
        <f t="shared" si="17"/>
        <v>-92046000</v>
      </c>
    </row>
    <row r="163" spans="1:13" x14ac:dyDescent="0.25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89</v>
      </c>
      <c r="H163" s="105">
        <f t="shared" si="15"/>
        <v>0</v>
      </c>
      <c r="I163" s="105">
        <f t="shared" si="13"/>
        <v>-445000</v>
      </c>
      <c r="J163" s="105">
        <f t="shared" si="16"/>
        <v>0</v>
      </c>
      <c r="K163" s="105">
        <f t="shared" si="17"/>
        <v>-445000</v>
      </c>
    </row>
    <row r="164" spans="1:13" x14ac:dyDescent="0.25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79</v>
      </c>
      <c r="H164" s="105">
        <f t="shared" si="15"/>
        <v>1</v>
      </c>
      <c r="I164" s="105">
        <f t="shared" si="13"/>
        <v>234000000</v>
      </c>
      <c r="J164" s="105">
        <f t="shared" si="16"/>
        <v>0</v>
      </c>
      <c r="K164" s="105">
        <f t="shared" si="17"/>
        <v>234000000</v>
      </c>
    </row>
    <row r="165" spans="1:13" x14ac:dyDescent="0.25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78</v>
      </c>
      <c r="H165" s="105">
        <f t="shared" si="15"/>
        <v>1</v>
      </c>
      <c r="I165" s="105">
        <f t="shared" si="13"/>
        <v>231000000</v>
      </c>
      <c r="J165" s="105">
        <f t="shared" si="16"/>
        <v>0</v>
      </c>
      <c r="K165" s="105">
        <f t="shared" si="17"/>
        <v>231000000</v>
      </c>
    </row>
    <row r="166" spans="1:13" x14ac:dyDescent="0.25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77</v>
      </c>
      <c r="H166" s="105">
        <f t="shared" si="15"/>
        <v>1</v>
      </c>
      <c r="I166" s="105">
        <f t="shared" si="13"/>
        <v>1543864</v>
      </c>
      <c r="J166" s="105">
        <f t="shared" si="16"/>
        <v>4547992</v>
      </c>
      <c r="K166" s="105">
        <f t="shared" si="17"/>
        <v>-3004128</v>
      </c>
    </row>
    <row r="167" spans="1:13" x14ac:dyDescent="0.25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72</v>
      </c>
      <c r="H167" s="105">
        <f t="shared" si="15"/>
        <v>0</v>
      </c>
      <c r="I167" s="105">
        <f t="shared" si="13"/>
        <v>-216064800</v>
      </c>
      <c r="J167" s="105">
        <f t="shared" si="16"/>
        <v>0</v>
      </c>
      <c r="K167" s="105">
        <f t="shared" si="17"/>
        <v>-216064800</v>
      </c>
    </row>
    <row r="168" spans="1:13" x14ac:dyDescent="0.25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54</v>
      </c>
      <c r="H168" s="105">
        <f t="shared" si="15"/>
        <v>0</v>
      </c>
      <c r="I168" s="105">
        <f t="shared" si="13"/>
        <v>-162048600</v>
      </c>
      <c r="J168" s="105">
        <f t="shared" si="16"/>
        <v>0</v>
      </c>
      <c r="K168" s="105">
        <f t="shared" si="17"/>
        <v>-162048600</v>
      </c>
      <c r="M168" t="s">
        <v>25</v>
      </c>
    </row>
    <row r="169" spans="1:13" x14ac:dyDescent="0.25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46</v>
      </c>
      <c r="H169" s="105">
        <f t="shared" si="15"/>
        <v>1</v>
      </c>
      <c r="I169" s="105">
        <f t="shared" si="13"/>
        <v>976725</v>
      </c>
      <c r="J169" s="105">
        <f t="shared" si="16"/>
        <v>3083175</v>
      </c>
      <c r="K169" s="105">
        <f t="shared" si="17"/>
        <v>-2106450</v>
      </c>
    </row>
    <row r="170" spans="1:13" x14ac:dyDescent="0.25">
      <c r="A170" s="105" t="s">
        <v>3975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22</v>
      </c>
      <c r="H170" s="105">
        <f t="shared" si="15"/>
        <v>1</v>
      </c>
      <c r="I170" s="105">
        <f t="shared" si="13"/>
        <v>105000000</v>
      </c>
      <c r="J170" s="105">
        <f t="shared" si="16"/>
        <v>0</v>
      </c>
      <c r="K170" s="105">
        <f t="shared" si="17"/>
        <v>105000000</v>
      </c>
    </row>
    <row r="171" spans="1:13" x14ac:dyDescent="0.25">
      <c r="A171" s="105" t="s">
        <v>3980</v>
      </c>
      <c r="B171" s="18">
        <v>-5000000</v>
      </c>
      <c r="C171" s="18">
        <v>0</v>
      </c>
      <c r="D171" s="18">
        <f t="shared" si="18"/>
        <v>-5000000</v>
      </c>
      <c r="E171" s="105" t="s">
        <v>3981</v>
      </c>
      <c r="F171" s="105">
        <v>6</v>
      </c>
      <c r="G171" s="36">
        <f t="shared" si="14"/>
        <v>21</v>
      </c>
      <c r="H171" s="105">
        <f t="shared" si="15"/>
        <v>0</v>
      </c>
      <c r="I171" s="105">
        <f t="shared" si="13"/>
        <v>-105000000</v>
      </c>
      <c r="J171" s="105">
        <f t="shared" si="16"/>
        <v>0</v>
      </c>
      <c r="K171" s="105">
        <f t="shared" si="17"/>
        <v>-105000000</v>
      </c>
    </row>
    <row r="172" spans="1:13" x14ac:dyDescent="0.25">
      <c r="A172" s="105" t="s">
        <v>4013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15</v>
      </c>
      <c r="H172" s="105">
        <f t="shared" si="15"/>
        <v>1</v>
      </c>
      <c r="I172" s="105">
        <f t="shared" si="13"/>
        <v>6944</v>
      </c>
      <c r="J172" s="105">
        <f t="shared" si="16"/>
        <v>877534</v>
      </c>
      <c r="K172" s="105">
        <f t="shared" si="17"/>
        <v>-870590</v>
      </c>
    </row>
    <row r="173" spans="1:13" x14ac:dyDescent="0.25">
      <c r="A173" s="105" t="s">
        <v>4051</v>
      </c>
      <c r="B173" s="18">
        <v>785000</v>
      </c>
      <c r="C173" s="18">
        <v>0</v>
      </c>
      <c r="D173" s="18">
        <f t="shared" si="18"/>
        <v>785000</v>
      </c>
      <c r="E173" s="105" t="s">
        <v>4052</v>
      </c>
      <c r="F173" s="105">
        <v>11</v>
      </c>
      <c r="G173" s="36">
        <f t="shared" si="14"/>
        <v>14</v>
      </c>
      <c r="H173" s="105">
        <f t="shared" si="15"/>
        <v>1</v>
      </c>
      <c r="I173" s="105">
        <f t="shared" si="13"/>
        <v>10205000</v>
      </c>
      <c r="J173" s="105">
        <f t="shared" si="16"/>
        <v>0</v>
      </c>
      <c r="K173" s="105">
        <f t="shared" si="17"/>
        <v>10205000</v>
      </c>
    </row>
    <row r="174" spans="1:13" x14ac:dyDescent="0.25">
      <c r="A174" s="11" t="s">
        <v>4051</v>
      </c>
      <c r="B174" s="18">
        <v>-32000</v>
      </c>
      <c r="C174" s="18">
        <v>0</v>
      </c>
      <c r="D174" s="18">
        <f t="shared" si="18"/>
        <v>-32000</v>
      </c>
      <c r="E174" s="11" t="s">
        <v>4022</v>
      </c>
      <c r="F174" s="11">
        <v>2</v>
      </c>
      <c r="G174" s="36">
        <f t="shared" si="14"/>
        <v>3</v>
      </c>
      <c r="H174" s="105">
        <f t="shared" si="15"/>
        <v>0</v>
      </c>
      <c r="I174" s="105">
        <f t="shared" si="13"/>
        <v>-96000</v>
      </c>
      <c r="J174" s="105">
        <f t="shared" si="16"/>
        <v>0</v>
      </c>
      <c r="K174" s="105">
        <f t="shared" si="17"/>
        <v>-96000</v>
      </c>
    </row>
    <row r="175" spans="1:13" x14ac:dyDescent="0.25">
      <c r="A175" s="105" t="s">
        <v>4053</v>
      </c>
      <c r="B175" s="18">
        <v>-750000</v>
      </c>
      <c r="C175" s="18">
        <v>0</v>
      </c>
      <c r="D175" s="18">
        <f t="shared" si="18"/>
        <v>-750000</v>
      </c>
      <c r="E175" s="105" t="s">
        <v>3817</v>
      </c>
      <c r="F175" s="105">
        <v>1</v>
      </c>
      <c r="G175" s="36">
        <f t="shared" si="14"/>
        <v>1</v>
      </c>
      <c r="H175" s="105">
        <f t="shared" si="15"/>
        <v>0</v>
      </c>
      <c r="I175" s="105">
        <f t="shared" si="13"/>
        <v>-750000</v>
      </c>
      <c r="J175" s="105">
        <f t="shared" si="16"/>
        <v>0</v>
      </c>
      <c r="K175" s="105">
        <f t="shared" si="17"/>
        <v>-750000</v>
      </c>
    </row>
    <row r="176" spans="1:13" x14ac:dyDescent="0.25">
      <c r="A176" s="105"/>
      <c r="B176" s="18"/>
      <c r="C176" s="18"/>
      <c r="D176" s="18">
        <f t="shared" si="18"/>
        <v>0</v>
      </c>
      <c r="E176" s="105"/>
      <c r="F176" s="105"/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4" x14ac:dyDescent="0.25">
      <c r="A177" s="105"/>
      <c r="B177" s="18"/>
      <c r="C177" s="18"/>
      <c r="D177" s="18">
        <f t="shared" si="18"/>
        <v>0</v>
      </c>
      <c r="E177" s="105"/>
      <c r="F177" s="105"/>
      <c r="G177" s="36">
        <f t="shared" si="14"/>
        <v>0</v>
      </c>
      <c r="H177" s="105">
        <f t="shared" si="15"/>
        <v>0</v>
      </c>
      <c r="I177" s="105">
        <f t="shared" si="13"/>
        <v>0</v>
      </c>
      <c r="J177" s="105">
        <f t="shared" si="16"/>
        <v>0</v>
      </c>
      <c r="K177" s="105">
        <f t="shared" si="17"/>
        <v>0</v>
      </c>
    </row>
    <row r="178" spans="1:14" x14ac:dyDescent="0.25">
      <c r="A178" s="105"/>
      <c r="B178" s="18"/>
      <c r="C178" s="18"/>
      <c r="D178" s="18">
        <f t="shared" si="18"/>
        <v>0</v>
      </c>
      <c r="E178" s="105"/>
      <c r="F178" s="105"/>
      <c r="G178" s="36">
        <f t="shared" si="14"/>
        <v>0</v>
      </c>
      <c r="H178" s="105">
        <f t="shared" si="15"/>
        <v>0</v>
      </c>
      <c r="I178" s="105">
        <f t="shared" si="13"/>
        <v>0</v>
      </c>
      <c r="J178" s="105">
        <f t="shared" si="16"/>
        <v>0</v>
      </c>
      <c r="K178" s="105">
        <f t="shared" si="17"/>
        <v>0</v>
      </c>
    </row>
    <row r="179" spans="1:14" x14ac:dyDescent="0.25">
      <c r="A179" s="105"/>
      <c r="B179" s="18"/>
      <c r="C179" s="18"/>
      <c r="D179" s="18">
        <f t="shared" si="18"/>
        <v>0</v>
      </c>
      <c r="E179" s="105"/>
      <c r="F179" s="105"/>
      <c r="G179" s="36">
        <f t="shared" si="14"/>
        <v>0</v>
      </c>
      <c r="H179" s="105">
        <f t="shared" si="15"/>
        <v>0</v>
      </c>
      <c r="I179" s="105">
        <f t="shared" si="13"/>
        <v>0</v>
      </c>
      <c r="J179" s="105">
        <f t="shared" si="16"/>
        <v>0</v>
      </c>
      <c r="K179" s="105">
        <f t="shared" si="17"/>
        <v>0</v>
      </c>
    </row>
    <row r="180" spans="1:14" x14ac:dyDescent="0.25">
      <c r="A180" s="105"/>
      <c r="B180" s="18"/>
      <c r="C180" s="18"/>
      <c r="D180" s="18">
        <f t="shared" si="18"/>
        <v>0</v>
      </c>
      <c r="E180" s="105"/>
      <c r="F180" s="105"/>
      <c r="G180" s="36">
        <f t="shared" si="14"/>
        <v>0</v>
      </c>
      <c r="H180" s="105">
        <f t="shared" si="15"/>
        <v>0</v>
      </c>
      <c r="I180" s="105">
        <f t="shared" si="13"/>
        <v>0</v>
      </c>
      <c r="J180" s="105">
        <f t="shared" si="16"/>
        <v>0</v>
      </c>
      <c r="K180" s="105">
        <f t="shared" si="17"/>
        <v>0</v>
      </c>
    </row>
    <row r="181" spans="1:14" x14ac:dyDescent="0.25">
      <c r="A181" s="105"/>
      <c r="B181" s="18"/>
      <c r="C181" s="18"/>
      <c r="D181" s="18">
        <f t="shared" si="18"/>
        <v>0</v>
      </c>
      <c r="E181" s="105"/>
      <c r="F181" s="105"/>
      <c r="G181" s="36">
        <f t="shared" si="14"/>
        <v>0</v>
      </c>
      <c r="H181" s="105">
        <f t="shared" si="15"/>
        <v>0</v>
      </c>
      <c r="I181" s="105">
        <f t="shared" si="13"/>
        <v>0</v>
      </c>
      <c r="J181" s="105">
        <f t="shared" si="16"/>
        <v>0</v>
      </c>
      <c r="K181" s="105">
        <f t="shared" si="17"/>
        <v>0</v>
      </c>
    </row>
    <row r="182" spans="1:14" x14ac:dyDescent="0.25">
      <c r="A182" s="105"/>
      <c r="B182" s="18"/>
      <c r="C182" s="18"/>
      <c r="D182" s="18">
        <f t="shared" si="18"/>
        <v>0</v>
      </c>
      <c r="E182" s="105"/>
      <c r="F182" s="105"/>
      <c r="G182" s="36">
        <f t="shared" si="14"/>
        <v>0</v>
      </c>
      <c r="H182" s="105">
        <f t="shared" si="15"/>
        <v>0</v>
      </c>
      <c r="I182" s="105">
        <f t="shared" si="13"/>
        <v>0</v>
      </c>
      <c r="J182" s="105">
        <f t="shared" si="16"/>
        <v>0</v>
      </c>
      <c r="K182" s="105">
        <f t="shared" si="17"/>
        <v>0</v>
      </c>
      <c r="N182" t="s">
        <v>25</v>
      </c>
    </row>
    <row r="183" spans="1:14" x14ac:dyDescent="0.25">
      <c r="A183" s="105"/>
      <c r="B183" s="18"/>
      <c r="C183" s="18"/>
      <c r="D183" s="18">
        <f t="shared" si="18"/>
        <v>0</v>
      </c>
      <c r="E183" s="105"/>
      <c r="F183" s="105"/>
      <c r="G183" s="36">
        <f t="shared" si="14"/>
        <v>0</v>
      </c>
      <c r="H183" s="105">
        <f t="shared" si="15"/>
        <v>0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/>
      <c r="B184" s="18"/>
      <c r="C184" s="18"/>
      <c r="D184" s="18">
        <f t="shared" si="18"/>
        <v>0</v>
      </c>
      <c r="E184" s="105"/>
      <c r="F184" s="105"/>
      <c r="G184" s="36">
        <f t="shared" si="14"/>
        <v>0</v>
      </c>
      <c r="H184" s="105">
        <f t="shared" si="15"/>
        <v>0</v>
      </c>
      <c r="I184" s="105">
        <f t="shared" si="13"/>
        <v>0</v>
      </c>
      <c r="J184" s="105">
        <f t="shared" si="16"/>
        <v>0</v>
      </c>
      <c r="K184" s="105">
        <f t="shared" si="17"/>
        <v>0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64637</v>
      </c>
      <c r="C207" s="29">
        <f>SUM(C2:C205)</f>
        <v>7835443</v>
      </c>
      <c r="D207" s="29">
        <f>SUM(D2:D205)</f>
        <v>-7770806</v>
      </c>
      <c r="E207" s="11"/>
      <c r="F207" s="11"/>
      <c r="G207" s="11"/>
      <c r="H207" s="11"/>
      <c r="I207" s="29">
        <f>SUM(I2:I206)</f>
        <v>18769471500</v>
      </c>
      <c r="J207" s="29">
        <f>SUM(J2:J206)</f>
        <v>7691856909</v>
      </c>
      <c r="K207" s="29">
        <f>SUM(K2:K206)</f>
        <v>11077614591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22133810.731132075</v>
      </c>
      <c r="J210" s="29">
        <f>J207/G2</f>
        <v>9070585.9775943402</v>
      </c>
      <c r="K210" s="29">
        <f>K207/G2</f>
        <v>13063224.753537735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-6574167</v>
      </c>
      <c r="G214" t="s">
        <v>25</v>
      </c>
      <c r="J214">
        <f>J207/I207*1448696</f>
        <v>593685.46081016003</v>
      </c>
      <c r="K214">
        <f>K207/I207*1448696</f>
        <v>855010.53918984008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1021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1039</v>
      </c>
    </row>
    <row r="36" spans="4:17" x14ac:dyDescent="0.25">
      <c r="D36" s="42">
        <v>245000</v>
      </c>
      <c r="E36" s="41" t="s">
        <v>1039</v>
      </c>
    </row>
    <row r="37" spans="4:17" x14ac:dyDescent="0.25">
      <c r="D37" s="7">
        <v>-25000</v>
      </c>
      <c r="E37" s="41" t="s">
        <v>1043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1147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1148</v>
      </c>
    </row>
    <row r="37" spans="4:17" x14ac:dyDescent="0.25">
      <c r="D37" s="7">
        <v>-65500</v>
      </c>
      <c r="E37" s="41" t="s">
        <v>1163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1261</v>
      </c>
    </row>
    <row r="51" spans="1:18" x14ac:dyDescent="0.25">
      <c r="D51" s="120">
        <v>1000000</v>
      </c>
      <c r="E51" s="41" t="s">
        <v>1263</v>
      </c>
    </row>
    <row r="52" spans="1:18" x14ac:dyDescent="0.25">
      <c r="D52" s="120">
        <v>910500</v>
      </c>
      <c r="E52" s="41" t="s">
        <v>1274</v>
      </c>
    </row>
    <row r="53" spans="1:18" x14ac:dyDescent="0.25">
      <c r="D53" s="120">
        <v>-300000</v>
      </c>
      <c r="E53" s="41" t="s">
        <v>1277</v>
      </c>
    </row>
    <row r="54" spans="1:18" x14ac:dyDescent="0.25">
      <c r="D54" s="120">
        <v>-58500</v>
      </c>
      <c r="E54" s="41" t="s">
        <v>1278</v>
      </c>
    </row>
    <row r="55" spans="1:18" x14ac:dyDescent="0.25">
      <c r="D55" s="120">
        <v>-1500000</v>
      </c>
      <c r="E55" s="41" t="s">
        <v>1281</v>
      </c>
    </row>
    <row r="56" spans="1:18" x14ac:dyDescent="0.25">
      <c r="D56" s="120">
        <v>-61000</v>
      </c>
      <c r="E56" s="41" t="s">
        <v>1285</v>
      </c>
    </row>
    <row r="57" spans="1:18" x14ac:dyDescent="0.25">
      <c r="D57" s="120">
        <v>1000000</v>
      </c>
      <c r="E57" s="41" t="s">
        <v>3704</v>
      </c>
    </row>
    <row r="58" spans="1:18" x14ac:dyDescent="0.25">
      <c r="D58" s="120">
        <v>200000</v>
      </c>
      <c r="E58" s="41" t="s">
        <v>3714</v>
      </c>
    </row>
    <row r="59" spans="1:18" x14ac:dyDescent="0.25">
      <c r="D59" s="120">
        <v>3000000</v>
      </c>
      <c r="E59" s="41" t="s">
        <v>3719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3975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3980</v>
      </c>
      <c r="B4" s="18">
        <v>-5000000</v>
      </c>
      <c r="C4" s="18">
        <v>0</v>
      </c>
      <c r="D4" s="119">
        <f t="shared" si="0"/>
        <v>-5000000</v>
      </c>
      <c r="E4" s="105" t="s">
        <v>3981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4013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3974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3977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3979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3982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3988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3990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3992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3996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3998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3999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4009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4010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 x14ac:dyDescent="0.25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C1" activePane="topRight" state="frozen"/>
      <selection pane="topRight" activeCell="N17" sqref="N17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 x14ac:dyDescent="0.25">
      <c r="A2" s="90" t="s">
        <v>969</v>
      </c>
      <c r="B2" s="91">
        <f>$S2/(1+($AC$2-$O2+$P2)/36500)^$N2</f>
        <v>100593.31523561767</v>
      </c>
      <c r="C2" s="91">
        <f>$S2/(1+($AC$3-$O2+$P2)/36500)^$N2</f>
        <v>100461.20189295418</v>
      </c>
      <c r="D2" s="91">
        <f>$S2/(1+($AC$4-$O2+$P2)/36500)^$N2</f>
        <v>100450.19930396021</v>
      </c>
      <c r="E2" s="91">
        <f>$S2/(1+($AC$5-$O2+$P2)/36500)^$N2</f>
        <v>100439.19776936636</v>
      </c>
      <c r="F2" s="91">
        <f>$S2/(1+($AC$6-$O2+$P2)/36500)^$N2</f>
        <v>100428.19728908583</v>
      </c>
      <c r="G2" s="91">
        <f>$S2/(1+($AC$7-$O2+$P2)/36500)^$N2</f>
        <v>100417.19786303227</v>
      </c>
      <c r="H2" s="91">
        <f>$S2/(1+($AC$8-$O2+$P2)/36500)^$N2</f>
        <v>100406.19949111882</v>
      </c>
      <c r="I2" s="91">
        <f>$S2/(1+($AC$9-$O2+$P2)/36500)^$N2</f>
        <v>100395.20217325905</v>
      </c>
      <c r="J2" s="91">
        <f>$S2/(1+($AC$10-$O2+$P2)/36500)^$N2</f>
        <v>100384.20590936638</v>
      </c>
      <c r="K2" s="91">
        <f>$S2/(1+($AC$11-$O2+$P2)/36500)^$N2</f>
        <v>100373.21069935391</v>
      </c>
      <c r="L2" s="91">
        <f>$S2/(1+($AC$5-$O2+$P2)/36500)^$N2</f>
        <v>100439.19776936636</v>
      </c>
      <c r="M2" s="90" t="s">
        <v>999</v>
      </c>
      <c r="N2" s="90">
        <f>132-$AD$19</f>
        <v>-8</v>
      </c>
      <c r="O2" s="90">
        <v>0</v>
      </c>
      <c r="P2" s="90">
        <v>0</v>
      </c>
      <c r="Q2" s="90">
        <v>0</v>
      </c>
      <c r="R2" s="90">
        <f t="shared" ref="R2:R31" si="0">N2/30.5</f>
        <v>-0.26229508196721313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 x14ac:dyDescent="0.25">
      <c r="A3" s="92" t="s">
        <v>970</v>
      </c>
      <c r="B3" s="93">
        <f t="shared" ref="B3:B31" si="2">$S3/(1+($AC$2-$O3+$P3)/36500)^$N3</f>
        <v>98023.276594107883</v>
      </c>
      <c r="C3" s="93">
        <f t="shared" ref="C3:C31" si="3">$S3/(1+($AC$3-$O3+$P3)/36500)^$N3</f>
        <v>98459.01856794364</v>
      </c>
      <c r="D3" s="93">
        <f t="shared" ref="D3:D31" si="4">$S3/(1+($AC$4-$O3+$P3)/36500)^$N3</f>
        <v>98495.420954303976</v>
      </c>
      <c r="E3" s="93">
        <f t="shared" ref="E3:E31" si="5">$S3/(1+($AC$5-$O3+$P3)/36500)^$N3</f>
        <v>98531.837298060593</v>
      </c>
      <c r="F3" s="93">
        <f t="shared" ref="F3:F31" si="6">$S3/(1+($AC$6-$O3+$P3)/36500)^$N3</f>
        <v>98568.267604756984</v>
      </c>
      <c r="G3" s="93">
        <f t="shared" ref="G3:G31" si="7">$S3/(1+($AC$7-$O3+$P3)/36500)^$N3</f>
        <v>98604.711879937284</v>
      </c>
      <c r="H3" s="93">
        <f t="shared" ref="H3:H31" si="8">$S3/(1+($AC$8-$O3+$P3)/36500)^$N3</f>
        <v>98641.170129149657</v>
      </c>
      <c r="I3" s="93">
        <f t="shared" ref="I3:I31" si="9">$S3/(1+($AC$9-$O3+$P3)/36500)^$N3</f>
        <v>98677.642357943085</v>
      </c>
      <c r="J3" s="93">
        <f t="shared" ref="J3:J31" si="10">$S3/(1+($AC$10-$O3+$P3)/36500)^$N3</f>
        <v>98714.128571869529</v>
      </c>
      <c r="K3" s="93">
        <f t="shared" ref="K3:K31" si="11">$S3/(1+($AC$11-$O3+$P3)/36500)^$N3</f>
        <v>98750.628776484096</v>
      </c>
      <c r="L3" s="93">
        <f t="shared" ref="L3:L31" si="12">$S3/(1+($AC$5-$O3+$P3)/36500)^$N3</f>
        <v>98531.837298060593</v>
      </c>
      <c r="M3" s="92" t="s">
        <v>1000</v>
      </c>
      <c r="N3" s="92">
        <f>167-$AD$19</f>
        <v>27</v>
      </c>
      <c r="O3" s="92">
        <v>0</v>
      </c>
      <c r="P3" s="92">
        <v>0</v>
      </c>
      <c r="Q3" s="92">
        <v>0</v>
      </c>
      <c r="R3" s="92">
        <f t="shared" si="0"/>
        <v>0.88524590163934425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"/>
        <v>2396.6624999999999</v>
      </c>
      <c r="AC3">
        <v>21</v>
      </c>
    </row>
    <row r="4" spans="1:39" x14ac:dyDescent="0.25">
      <c r="A4" s="94" t="s">
        <v>971</v>
      </c>
      <c r="B4" s="95">
        <f t="shared" si="2"/>
        <v>95943.631040525957</v>
      </c>
      <c r="C4" s="95">
        <f t="shared" si="3"/>
        <v>96830.330119171238</v>
      </c>
      <c r="D4" s="95">
        <f t="shared" si="4"/>
        <v>96904.597182400496</v>
      </c>
      <c r="E4" s="95">
        <f t="shared" si="5"/>
        <v>96978.922225048766</v>
      </c>
      <c r="F4" s="95">
        <f t="shared" si="6"/>
        <v>97053.305293176294</v>
      </c>
      <c r="G4" s="95">
        <f t="shared" si="7"/>
        <v>97127.746432877015</v>
      </c>
      <c r="H4" s="95">
        <f t="shared" si="8"/>
        <v>97202.245690285694</v>
      </c>
      <c r="I4" s="95">
        <f t="shared" si="9"/>
        <v>97276.803111571557</v>
      </c>
      <c r="J4" s="95">
        <f t="shared" si="10"/>
        <v>97351.418742942289</v>
      </c>
      <c r="K4" s="95">
        <f t="shared" si="11"/>
        <v>97426.092630645115</v>
      </c>
      <c r="L4" s="95">
        <f t="shared" si="12"/>
        <v>96978.922225048766</v>
      </c>
      <c r="M4" s="94" t="s">
        <v>1001</v>
      </c>
      <c r="N4" s="94">
        <f>196-$AD$19</f>
        <v>56</v>
      </c>
      <c r="O4" s="94">
        <v>0</v>
      </c>
      <c r="P4" s="94">
        <v>0</v>
      </c>
      <c r="Q4" s="94">
        <v>0</v>
      </c>
      <c r="R4" s="94">
        <f t="shared" si="0"/>
        <v>1.8360655737704918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"/>
        <v>3635.5874062499997</v>
      </c>
      <c r="AC4">
        <v>20.5</v>
      </c>
    </row>
    <row r="5" spans="1:39" x14ac:dyDescent="0.25">
      <c r="A5" s="90" t="s">
        <v>972</v>
      </c>
      <c r="B5" s="91">
        <f t="shared" si="2"/>
        <v>71113.881264898097</v>
      </c>
      <c r="C5" s="91">
        <f t="shared" si="3"/>
        <v>76708.581025412481</v>
      </c>
      <c r="D5" s="91">
        <f t="shared" si="4"/>
        <v>77194.256789978201</v>
      </c>
      <c r="E5" s="91">
        <f t="shared" si="5"/>
        <v>77683.014294057357</v>
      </c>
      <c r="F5" s="91">
        <f t="shared" si="6"/>
        <v>78174.873134697584</v>
      </c>
      <c r="G5" s="91">
        <f t="shared" si="7"/>
        <v>78669.853033812935</v>
      </c>
      <c r="H5" s="91">
        <f t="shared" si="8"/>
        <v>79167.973839028811</v>
      </c>
      <c r="I5" s="91">
        <f t="shared" si="9"/>
        <v>79669.255524442357</v>
      </c>
      <c r="J5" s="91">
        <f t="shared" si="10"/>
        <v>80173.718191456966</v>
      </c>
      <c r="K5" s="91">
        <f t="shared" si="11"/>
        <v>80681.382069601648</v>
      </c>
      <c r="L5" s="91">
        <f t="shared" si="12"/>
        <v>77683.014294057357</v>
      </c>
      <c r="M5" s="90" t="s">
        <v>1002</v>
      </c>
      <c r="N5" s="90">
        <f>601-$AD$19</f>
        <v>461</v>
      </c>
      <c r="O5" s="90">
        <v>0</v>
      </c>
      <c r="P5" s="90">
        <v>0</v>
      </c>
      <c r="Q5" s="90">
        <v>0</v>
      </c>
      <c r="R5" s="90">
        <f t="shared" si="0"/>
        <v>15.114754098360656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"/>
        <v>4902.3881228906248</v>
      </c>
      <c r="AB5" t="s">
        <v>953</v>
      </c>
      <c r="AC5">
        <v>20</v>
      </c>
    </row>
    <row r="6" spans="1:39" x14ac:dyDescent="0.25">
      <c r="A6" s="92" t="s">
        <v>973</v>
      </c>
      <c r="B6" s="93">
        <f t="shared" si="2"/>
        <v>90700.461690811091</v>
      </c>
      <c r="C6" s="93">
        <f t="shared" si="3"/>
        <v>92688.723435359861</v>
      </c>
      <c r="D6" s="93">
        <f t="shared" si="4"/>
        <v>92856.381185712831</v>
      </c>
      <c r="E6" s="93">
        <f t="shared" si="5"/>
        <v>93024.344501359636</v>
      </c>
      <c r="F6" s="93">
        <f t="shared" si="6"/>
        <v>93192.613943408287</v>
      </c>
      <c r="G6" s="93">
        <f t="shared" si="7"/>
        <v>93361.190073996826</v>
      </c>
      <c r="H6" s="93">
        <f t="shared" si="8"/>
        <v>93530.073456311322</v>
      </c>
      <c r="I6" s="93">
        <f t="shared" si="9"/>
        <v>93699.264654573417</v>
      </c>
      <c r="J6" s="93">
        <f t="shared" si="10"/>
        <v>93868.764234051356</v>
      </c>
      <c r="K6" s="93">
        <f t="shared" si="11"/>
        <v>94038.572761063901</v>
      </c>
      <c r="L6" s="93">
        <f t="shared" si="12"/>
        <v>93024.344501359636</v>
      </c>
      <c r="M6" s="92" t="s">
        <v>1003</v>
      </c>
      <c r="N6" s="92">
        <f>272-$AD$19</f>
        <v>132</v>
      </c>
      <c r="O6" s="92">
        <v>0</v>
      </c>
      <c r="P6" s="92">
        <v>0</v>
      </c>
      <c r="Q6" s="92">
        <v>0</v>
      </c>
      <c r="R6" s="92">
        <f t="shared" si="0"/>
        <v>4.3278688524590168</v>
      </c>
      <c r="S6" s="93">
        <v>100000</v>
      </c>
      <c r="T6" s="93">
        <v>87200</v>
      </c>
      <c r="U6" s="93">
        <f t="shared" si="13"/>
        <v>99999.999999999985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"/>
        <v>6197.6918556556639</v>
      </c>
      <c r="AC6">
        <v>19.5</v>
      </c>
    </row>
    <row r="7" spans="1:39" x14ac:dyDescent="0.25">
      <c r="A7" s="94" t="s">
        <v>974</v>
      </c>
      <c r="B7" s="95">
        <f t="shared" si="2"/>
        <v>72601.619254642195</v>
      </c>
      <c r="C7" s="95">
        <f t="shared" si="3"/>
        <v>77953.970947414375</v>
      </c>
      <c r="D7" s="95">
        <f t="shared" si="4"/>
        <v>78417.46521828961</v>
      </c>
      <c r="E7" s="95">
        <f t="shared" si="5"/>
        <v>78883.721709324978</v>
      </c>
      <c r="F7" s="95">
        <f t="shared" si="6"/>
        <v>79352.75692029389</v>
      </c>
      <c r="G7" s="95">
        <f t="shared" si="7"/>
        <v>79824.587449734492</v>
      </c>
      <c r="H7" s="95">
        <f t="shared" si="8"/>
        <v>80299.229995587302</v>
      </c>
      <c r="I7" s="95">
        <f t="shared" si="9"/>
        <v>80776.701355751444</v>
      </c>
      <c r="J7" s="95">
        <f t="shared" si="10"/>
        <v>81257.018428709867</v>
      </c>
      <c r="K7" s="95">
        <f t="shared" si="11"/>
        <v>81740.198214139004</v>
      </c>
      <c r="L7" s="95">
        <f t="shared" si="12"/>
        <v>78883.721709324978</v>
      </c>
      <c r="M7" s="94" t="s">
        <v>1004</v>
      </c>
      <c r="N7" s="94">
        <f>573-$AD$19</f>
        <v>433</v>
      </c>
      <c r="O7" s="94">
        <v>0</v>
      </c>
      <c r="P7" s="94">
        <v>0</v>
      </c>
      <c r="Q7" s="94">
        <v>0</v>
      </c>
      <c r="R7" s="94">
        <f t="shared" si="0"/>
        <v>14.196721311475409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"/>
        <v>7522.1399224079159</v>
      </c>
      <c r="AC7">
        <v>19</v>
      </c>
    </row>
    <row r="8" spans="1:39" x14ac:dyDescent="0.25">
      <c r="A8" s="90" t="s">
        <v>975</v>
      </c>
      <c r="B8" s="91">
        <f t="shared" si="2"/>
        <v>89766.343539207563</v>
      </c>
      <c r="C8" s="91">
        <f t="shared" si="3"/>
        <v>91945.346533477103</v>
      </c>
      <c r="D8" s="91">
        <f t="shared" si="4"/>
        <v>92129.316549582101</v>
      </c>
      <c r="E8" s="91">
        <f t="shared" si="5"/>
        <v>92313.657190734419</v>
      </c>
      <c r="F8" s="91">
        <f t="shared" si="6"/>
        <v>92498.369208687072</v>
      </c>
      <c r="G8" s="91">
        <f t="shared" si="7"/>
        <v>92683.453356719561</v>
      </c>
      <c r="H8" s="91">
        <f t="shared" si="8"/>
        <v>92868.910389658369</v>
      </c>
      <c r="I8" s="91">
        <f t="shared" si="9"/>
        <v>93054.74106386448</v>
      </c>
      <c r="J8" s="91">
        <f t="shared" si="10"/>
        <v>93240.946137246487</v>
      </c>
      <c r="K8" s="91">
        <f t="shared" si="11"/>
        <v>93427.52636926595</v>
      </c>
      <c r="L8" s="91">
        <f t="shared" si="12"/>
        <v>92313.657190734419</v>
      </c>
      <c r="M8" s="90" t="s">
        <v>1006</v>
      </c>
      <c r="N8" s="90">
        <f>286-$AD$19</f>
        <v>146</v>
      </c>
      <c r="O8" s="90">
        <v>0</v>
      </c>
      <c r="P8" s="90">
        <v>0</v>
      </c>
      <c r="Q8" s="90">
        <v>0</v>
      </c>
      <c r="R8" s="90">
        <f t="shared" si="0"/>
        <v>4.7868852459016393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"/>
        <v>8876.3880706620948</v>
      </c>
      <c r="AC8">
        <v>18.5</v>
      </c>
    </row>
    <row r="9" spans="1:39" x14ac:dyDescent="0.25">
      <c r="A9" s="92" t="s">
        <v>991</v>
      </c>
      <c r="B9" s="93">
        <f t="shared" si="2"/>
        <v>78405.203170098845</v>
      </c>
      <c r="C9" s="93">
        <f t="shared" si="3"/>
        <v>82759.345670466879</v>
      </c>
      <c r="D9" s="93">
        <f t="shared" si="4"/>
        <v>83132.95845073869</v>
      </c>
      <c r="E9" s="93">
        <f t="shared" si="5"/>
        <v>83508.263036373188</v>
      </c>
      <c r="F9" s="93">
        <f t="shared" si="6"/>
        <v>83885.267111586421</v>
      </c>
      <c r="G9" s="93">
        <f t="shared" si="7"/>
        <v>84263.978395584127</v>
      </c>
      <c r="H9" s="93">
        <f t="shared" si="8"/>
        <v>84644.404642757829</v>
      </c>
      <c r="I9" s="93">
        <f t="shared" si="9"/>
        <v>85026.553642813131</v>
      </c>
      <c r="J9" s="93">
        <f t="shared" si="10"/>
        <v>85410.433220951614</v>
      </c>
      <c r="K9" s="93">
        <f t="shared" si="11"/>
        <v>85796.051238037617</v>
      </c>
      <c r="L9" s="93">
        <f t="shared" si="12"/>
        <v>83508.263036373188</v>
      </c>
      <c r="M9" s="92" t="s">
        <v>1005</v>
      </c>
      <c r="N9" s="92">
        <f>469-$AD$19</f>
        <v>329</v>
      </c>
      <c r="O9" s="92">
        <v>0</v>
      </c>
      <c r="P9" s="92">
        <v>0</v>
      </c>
      <c r="Q9" s="92">
        <v>0</v>
      </c>
      <c r="R9" s="92">
        <f t="shared" si="0"/>
        <v>10.78688524590164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"/>
        <v>10261.106802251992</v>
      </c>
      <c r="AC9">
        <v>18</v>
      </c>
    </row>
    <row r="10" spans="1:39" x14ac:dyDescent="0.25">
      <c r="A10" s="94" t="s">
        <v>992</v>
      </c>
      <c r="B10" s="95">
        <f t="shared" si="2"/>
        <v>78405.203170098845</v>
      </c>
      <c r="C10" s="95">
        <f t="shared" si="3"/>
        <v>82759.345670466879</v>
      </c>
      <c r="D10" s="95">
        <f t="shared" si="4"/>
        <v>83132.95845073869</v>
      </c>
      <c r="E10" s="95">
        <f t="shared" si="5"/>
        <v>83508.263036373188</v>
      </c>
      <c r="F10" s="95">
        <f t="shared" si="6"/>
        <v>83885.267111586421</v>
      </c>
      <c r="G10" s="95">
        <f t="shared" si="7"/>
        <v>84263.978395584127</v>
      </c>
      <c r="H10" s="95">
        <f t="shared" si="8"/>
        <v>84644.404642757829</v>
      </c>
      <c r="I10" s="95">
        <f t="shared" si="9"/>
        <v>85026.553642813131</v>
      </c>
      <c r="J10" s="95">
        <f t="shared" si="10"/>
        <v>85410.433220951614</v>
      </c>
      <c r="K10" s="95">
        <f t="shared" si="11"/>
        <v>85796.051238037617</v>
      </c>
      <c r="L10" s="95">
        <f t="shared" si="12"/>
        <v>83508.263036373188</v>
      </c>
      <c r="M10" s="94" t="s">
        <v>1005</v>
      </c>
      <c r="N10" s="94">
        <f>469-$AD$19</f>
        <v>329</v>
      </c>
      <c r="O10" s="94">
        <v>0</v>
      </c>
      <c r="P10" s="94">
        <v>0</v>
      </c>
      <c r="Q10" s="94">
        <v>0</v>
      </c>
      <c r="R10" s="94">
        <f t="shared" si="0"/>
        <v>10.78688524590164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"/>
        <v>11676.981705302662</v>
      </c>
      <c r="AC10">
        <v>17.5</v>
      </c>
      <c r="AF10" s="26"/>
    </row>
    <row r="11" spans="1:39" x14ac:dyDescent="0.25">
      <c r="A11" s="90" t="s">
        <v>993</v>
      </c>
      <c r="B11" s="91">
        <f t="shared" si="2"/>
        <v>70018.118878867419</v>
      </c>
      <c r="C11" s="91">
        <f t="shared" si="3"/>
        <v>75787.613005236504</v>
      </c>
      <c r="D11" s="91">
        <f t="shared" si="4"/>
        <v>76289.388356632087</v>
      </c>
      <c r="E11" s="91">
        <f t="shared" si="5"/>
        <v>76794.492805206333</v>
      </c>
      <c r="F11" s="91">
        <f t="shared" si="6"/>
        <v>77302.948484354551</v>
      </c>
      <c r="G11" s="91">
        <f t="shared" si="7"/>
        <v>77814.777674907004</v>
      </c>
      <c r="H11" s="91">
        <f t="shared" si="8"/>
        <v>78330.00280616169</v>
      </c>
      <c r="I11" s="91">
        <f t="shared" si="9"/>
        <v>78848.646456832008</v>
      </c>
      <c r="J11" s="91">
        <f t="shared" si="10"/>
        <v>79370.73135607173</v>
      </c>
      <c r="K11" s="91">
        <f t="shared" si="11"/>
        <v>79896.280384486119</v>
      </c>
      <c r="L11" s="91">
        <f t="shared" si="12"/>
        <v>76794.492805206333</v>
      </c>
      <c r="M11" s="90" t="s">
        <v>1009</v>
      </c>
      <c r="N11" s="90">
        <f>622-$AD$19</f>
        <v>482</v>
      </c>
      <c r="O11" s="90">
        <v>0</v>
      </c>
      <c r="P11" s="90">
        <v>0</v>
      </c>
      <c r="Q11" s="90">
        <v>0</v>
      </c>
      <c r="R11" s="90">
        <f t="shared" si="0"/>
        <v>15.803278688524591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"/>
        <v>13124.713793671972</v>
      </c>
      <c r="AC11">
        <v>17</v>
      </c>
      <c r="AF11" s="26"/>
    </row>
    <row r="12" spans="1:39" x14ac:dyDescent="0.25">
      <c r="A12" s="92" t="s">
        <v>994</v>
      </c>
      <c r="B12" s="93">
        <f>$S12/(1+($AC$2-$O12+$P12)/36500)^$N12</f>
        <v>91576.558811545969</v>
      </c>
      <c r="C12" s="93">
        <f>$S12/(1+($AC$3-$O12+$P12)/36500)^$N12</f>
        <v>93384.382528684597</v>
      </c>
      <c r="D12" s="93">
        <f t="shared" si="4"/>
        <v>93536.64937614165</v>
      </c>
      <c r="E12" s="93">
        <f t="shared" si="5"/>
        <v>93689.16659037213</v>
      </c>
      <c r="F12" s="93">
        <f t="shared" si="6"/>
        <v>93841.934586484509</v>
      </c>
      <c r="G12" s="93">
        <f t="shared" si="7"/>
        <v>93994.953780274154</v>
      </c>
      <c r="H12" s="93">
        <f t="shared" si="8"/>
        <v>94148.224588238649</v>
      </c>
      <c r="I12" s="93">
        <f t="shared" si="9"/>
        <v>94301.747427566137</v>
      </c>
      <c r="J12" s="93">
        <f t="shared" si="10"/>
        <v>94455.522716144711</v>
      </c>
      <c r="K12" s="93">
        <f t="shared" si="11"/>
        <v>94609.550872565422</v>
      </c>
      <c r="L12" s="93">
        <f t="shared" si="12"/>
        <v>93689.16659037213</v>
      </c>
      <c r="M12" s="92" t="s">
        <v>1010</v>
      </c>
      <c r="N12" s="92">
        <f>259-$AD$19</f>
        <v>119</v>
      </c>
      <c r="O12" s="92">
        <v>0</v>
      </c>
      <c r="P12" s="92">
        <v>0</v>
      </c>
      <c r="Q12" s="92">
        <v>0</v>
      </c>
      <c r="R12" s="92">
        <f t="shared" si="0"/>
        <v>3.901639344262295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"/>
        <v>14605.019854029591</v>
      </c>
      <c r="AF12" s="26"/>
    </row>
    <row r="13" spans="1:39" x14ac:dyDescent="0.25">
      <c r="A13" s="94" t="s">
        <v>995</v>
      </c>
      <c r="B13" s="95">
        <f t="shared" si="2"/>
        <v>66831.099801465956</v>
      </c>
      <c r="C13" s="95">
        <f t="shared" si="3"/>
        <v>73090.522722649286</v>
      </c>
      <c r="D13" s="95">
        <f t="shared" si="4"/>
        <v>73637.928202756055</v>
      </c>
      <c r="E13" s="95">
        <f t="shared" si="5"/>
        <v>74189.441010221461</v>
      </c>
      <c r="F13" s="95">
        <f t="shared" si="6"/>
        <v>74745.092020284064</v>
      </c>
      <c r="G13" s="95">
        <f t="shared" si="7"/>
        <v>75304.912340675815</v>
      </c>
      <c r="H13" s="95">
        <f t="shared" si="8"/>
        <v>75868.933313429457</v>
      </c>
      <c r="I13" s="95">
        <f t="shared" si="9"/>
        <v>76437.186516598551</v>
      </c>
      <c r="J13" s="95">
        <f t="shared" si="10"/>
        <v>77009.703766068284</v>
      </c>
      <c r="K13" s="95">
        <f t="shared" si="11"/>
        <v>77586.517117357347</v>
      </c>
      <c r="L13" s="95">
        <f t="shared" si="12"/>
        <v>74189.441010221461</v>
      </c>
      <c r="M13" s="94" t="s">
        <v>1011</v>
      </c>
      <c r="N13" s="94">
        <f>685-$AD$19</f>
        <v>545</v>
      </c>
      <c r="O13" s="94">
        <v>0</v>
      </c>
      <c r="P13" s="94">
        <v>0</v>
      </c>
      <c r="Q13" s="94">
        <v>0</v>
      </c>
      <c r="R13" s="94">
        <f t="shared" si="0"/>
        <v>17.868852459016395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"/>
        <v>16118.632800745258</v>
      </c>
      <c r="AF13" s="26"/>
    </row>
    <row r="14" spans="1:39" x14ac:dyDescent="0.25">
      <c r="A14" s="90" t="s">
        <v>996</v>
      </c>
      <c r="B14" s="91">
        <f t="shared" si="2"/>
        <v>68229.239859391571</v>
      </c>
      <c r="C14" s="91">
        <f t="shared" si="3"/>
        <v>74277.172236638886</v>
      </c>
      <c r="D14" s="91">
        <f t="shared" si="4"/>
        <v>74804.783590276216</v>
      </c>
      <c r="E14" s="91">
        <f t="shared" si="5"/>
        <v>75336.150014307408</v>
      </c>
      <c r="F14" s="91">
        <f t="shared" si="6"/>
        <v>75871.298285971279</v>
      </c>
      <c r="G14" s="91">
        <f t="shared" si="7"/>
        <v>76410.255373798835</v>
      </c>
      <c r="H14" s="91">
        <f t="shared" si="8"/>
        <v>76953.048439033868</v>
      </c>
      <c r="I14" s="91">
        <f t="shared" si="9"/>
        <v>77499.70483696663</v>
      </c>
      <c r="J14" s="91">
        <f t="shared" si="10"/>
        <v>78050.252118351753</v>
      </c>
      <c r="K14" s="91">
        <f t="shared" si="11"/>
        <v>78604.718030814809</v>
      </c>
      <c r="L14" s="91">
        <f t="shared" si="12"/>
        <v>75336.150014307408</v>
      </c>
      <c r="M14" s="90" t="s">
        <v>1012</v>
      </c>
      <c r="N14" s="90">
        <f>657-$AD$19</f>
        <v>517</v>
      </c>
      <c r="O14" s="90">
        <v>0</v>
      </c>
      <c r="P14" s="90">
        <v>0</v>
      </c>
      <c r="Q14" s="90">
        <v>0</v>
      </c>
      <c r="R14" s="90">
        <f t="shared" si="0"/>
        <v>16.950819672131146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"/>
        <v>17666.302038762024</v>
      </c>
      <c r="AF14" s="26"/>
    </row>
    <row r="15" spans="1:39" x14ac:dyDescent="0.25">
      <c r="A15" s="92" t="s">
        <v>997</v>
      </c>
      <c r="B15" s="93">
        <f t="shared" si="2"/>
        <v>68229.239859391571</v>
      </c>
      <c r="C15" s="93">
        <f t="shared" si="3"/>
        <v>74277.172236638886</v>
      </c>
      <c r="D15" s="93">
        <f t="shared" si="4"/>
        <v>74804.783590276216</v>
      </c>
      <c r="E15" s="93">
        <f t="shared" si="5"/>
        <v>75336.150014307408</v>
      </c>
      <c r="F15" s="93">
        <f t="shared" si="6"/>
        <v>75871.298285971279</v>
      </c>
      <c r="G15" s="93">
        <f t="shared" si="7"/>
        <v>76410.255373798835</v>
      </c>
      <c r="H15" s="93">
        <f t="shared" si="8"/>
        <v>76953.048439033868</v>
      </c>
      <c r="I15" s="93">
        <f t="shared" si="9"/>
        <v>77499.70483696663</v>
      </c>
      <c r="J15" s="93">
        <f t="shared" si="10"/>
        <v>78050.252118351753</v>
      </c>
      <c r="K15" s="93">
        <f t="shared" si="11"/>
        <v>78604.718030814809</v>
      </c>
      <c r="L15" s="93">
        <f t="shared" si="12"/>
        <v>75336.150014307408</v>
      </c>
      <c r="M15" s="92" t="s">
        <v>1012</v>
      </c>
      <c r="N15" s="92">
        <f>657-$AD$19</f>
        <v>517</v>
      </c>
      <c r="O15" s="92">
        <v>0</v>
      </c>
      <c r="P15" s="92">
        <v>0</v>
      </c>
      <c r="Q15" s="92">
        <v>0</v>
      </c>
      <c r="R15" s="92">
        <f t="shared" si="0"/>
        <v>16.950819672131146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4" t="s">
        <v>998</v>
      </c>
      <c r="B16" s="95">
        <f t="shared" si="2"/>
        <v>71113.881264898097</v>
      </c>
      <c r="C16" s="95">
        <f t="shared" si="3"/>
        <v>76708.581025412481</v>
      </c>
      <c r="D16" s="95">
        <f t="shared" si="4"/>
        <v>77194.256789978201</v>
      </c>
      <c r="E16" s="95">
        <f t="shared" si="5"/>
        <v>77683.014294057357</v>
      </c>
      <c r="F16" s="95">
        <f t="shared" si="6"/>
        <v>78174.873134697584</v>
      </c>
      <c r="G16" s="95">
        <f>$S16/(1+($AC$7-$O16+$P16)/36500)^$N16</f>
        <v>78669.853033812935</v>
      </c>
      <c r="H16" s="95">
        <f t="shared" si="8"/>
        <v>79167.973839028811</v>
      </c>
      <c r="I16" s="95">
        <f t="shared" si="9"/>
        <v>79669.255524442357</v>
      </c>
      <c r="J16" s="95">
        <f t="shared" si="10"/>
        <v>80173.718191456966</v>
      </c>
      <c r="K16" s="95">
        <f t="shared" si="11"/>
        <v>80681.382069601648</v>
      </c>
      <c r="L16" s="95">
        <f t="shared" si="12"/>
        <v>77683.014294057357</v>
      </c>
      <c r="M16" s="94" t="s">
        <v>1002</v>
      </c>
      <c r="N16" s="94">
        <f>601-$AD$19</f>
        <v>461</v>
      </c>
      <c r="O16" s="94">
        <v>0</v>
      </c>
      <c r="P16" s="94">
        <v>0</v>
      </c>
      <c r="Q16" s="94">
        <v>0</v>
      </c>
      <c r="R16" s="94">
        <f t="shared" si="0"/>
        <v>15.114754098360656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"/>
        <v>20866.891695913437</v>
      </c>
      <c r="AF16" s="26"/>
    </row>
    <row r="17" spans="1:32" x14ac:dyDescent="0.25">
      <c r="A17" s="172" t="s">
        <v>3899</v>
      </c>
      <c r="B17" s="174">
        <f>$S17/(1+($AC$2-$O17+$P17)/36500)^$N17</f>
        <v>75951.412894670968</v>
      </c>
      <c r="C17" s="174">
        <f t="shared" si="3"/>
        <v>80737.595535844011</v>
      </c>
      <c r="D17" s="174">
        <f t="shared" si="4"/>
        <v>81149.84060249904</v>
      </c>
      <c r="E17" s="174">
        <f t="shared" si="5"/>
        <v>81564.196274200891</v>
      </c>
      <c r="F17" s="174">
        <f t="shared" si="6"/>
        <v>81980.673385916467</v>
      </c>
      <c r="G17" s="174">
        <f t="shared" si="7"/>
        <v>82399.282828364332</v>
      </c>
      <c r="H17" s="174">
        <f t="shared" si="8"/>
        <v>82820.035548342305</v>
      </c>
      <c r="I17" s="174">
        <f t="shared" si="9"/>
        <v>83242.942548981431</v>
      </c>
      <c r="J17" s="174">
        <f t="shared" si="10"/>
        <v>83668.01489005897</v>
      </c>
      <c r="K17" s="174">
        <f t="shared" si="11"/>
        <v>84095.263688296138</v>
      </c>
      <c r="L17" s="174">
        <f t="shared" si="12"/>
        <v>81564.196274200891</v>
      </c>
      <c r="M17" s="172" t="s">
        <v>3900</v>
      </c>
      <c r="N17" s="172">
        <f>512-$AD$19</f>
        <v>372</v>
      </c>
      <c r="O17" s="172">
        <v>0</v>
      </c>
      <c r="P17" s="172">
        <v>0</v>
      </c>
      <c r="Q17" s="172">
        <v>0</v>
      </c>
      <c r="R17" s="172">
        <f t="shared" si="0"/>
        <v>12.196721311475409</v>
      </c>
      <c r="S17" s="174">
        <v>100000</v>
      </c>
      <c r="T17" s="174">
        <v>50000</v>
      </c>
      <c r="U17" s="174">
        <f>B17*(1+$AC$2/36500)^N17</f>
        <v>100000.00000000001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"/>
        <v>22521.396759071489</v>
      </c>
      <c r="AF17" s="26"/>
    </row>
    <row r="18" spans="1:32" x14ac:dyDescent="0.25">
      <c r="A18" s="94" t="s">
        <v>3954</v>
      </c>
      <c r="B18" s="95">
        <f>$S18/(1+($AC$2-$O18+$P18)/36500)^$N18</f>
        <v>57771.546697054451</v>
      </c>
      <c r="C18" s="95">
        <f>$S18/(1+($AC$3-$O18+$P18)/36500)^$N18</f>
        <v>65260.622986757422</v>
      </c>
      <c r="D18" s="95">
        <f t="shared" si="4"/>
        <v>65926.958896176599</v>
      </c>
      <c r="E18" s="95">
        <f t="shared" si="5"/>
        <v>66600.107612825086</v>
      </c>
      <c r="F18" s="95">
        <f t="shared" si="6"/>
        <v>67280.138887499532</v>
      </c>
      <c r="G18" s="95">
        <f t="shared" si="7"/>
        <v>67967.123186055294</v>
      </c>
      <c r="H18" s="95">
        <f t="shared" si="8"/>
        <v>68661.13169681243</v>
      </c>
      <c r="I18" s="95">
        <f t="shared" si="9"/>
        <v>69362.236337914073</v>
      </c>
      <c r="J18" s="95">
        <f t="shared" si="10"/>
        <v>70070.5097648558</v>
      </c>
      <c r="K18" s="95">
        <f t="shared" si="11"/>
        <v>70786.025378064922</v>
      </c>
      <c r="L18" s="95">
        <f t="shared" si="12"/>
        <v>66600.107612825086</v>
      </c>
      <c r="M18" s="94" t="s">
        <v>3955</v>
      </c>
      <c r="N18" s="94">
        <f>882-$AD$19</f>
        <v>742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"/>
        <v>24213.128186150596</v>
      </c>
      <c r="AC18" t="s">
        <v>1014</v>
      </c>
      <c r="AD18" t="s">
        <v>1053</v>
      </c>
      <c r="AF18" s="26"/>
    </row>
    <row r="19" spans="1:32" x14ac:dyDescent="0.25">
      <c r="A19" s="90" t="s">
        <v>1016</v>
      </c>
      <c r="B19" s="91">
        <f t="shared" si="2"/>
        <v>69563.660401044413</v>
      </c>
      <c r="C19" s="91">
        <f t="shared" si="3"/>
        <v>85526.799552626151</v>
      </c>
      <c r="D19" s="91">
        <f t="shared" si="4"/>
        <v>87012.077109081714</v>
      </c>
      <c r="E19" s="91">
        <f t="shared" si="5"/>
        <v>88523.169204411548</v>
      </c>
      <c r="F19" s="91">
        <f t="shared" si="6"/>
        <v>90060.524865300991</v>
      </c>
      <c r="G19" s="91">
        <f t="shared" si="7"/>
        <v>91624.600935350754</v>
      </c>
      <c r="H19" s="91">
        <f t="shared" si="8"/>
        <v>93215.862211196974</v>
      </c>
      <c r="I19" s="91">
        <f t="shared" si="9"/>
        <v>94834.781580928975</v>
      </c>
      <c r="J19" s="91">
        <f t="shared" si="10"/>
        <v>96481.840165379384</v>
      </c>
      <c r="K19" s="91">
        <f t="shared" si="11"/>
        <v>98157.52746123531</v>
      </c>
      <c r="L19" s="91">
        <f t="shared" si="12"/>
        <v>88523.169204411548</v>
      </c>
      <c r="M19" s="90" t="s">
        <v>1017</v>
      </c>
      <c r="N19" s="90">
        <f>1397-$AD$19</f>
        <v>1257</v>
      </c>
      <c r="O19" s="90">
        <v>17</v>
      </c>
      <c r="P19" s="90">
        <f>$AI$2</f>
        <v>0.54</v>
      </c>
      <c r="Q19" s="90">
        <v>6</v>
      </c>
      <c r="R19" s="90">
        <f t="shared" si="0"/>
        <v>41.213114754098363</v>
      </c>
      <c r="S19" s="91">
        <v>100000</v>
      </c>
      <c r="T19" s="91">
        <v>96000</v>
      </c>
      <c r="U19" s="91">
        <f t="shared" si="13"/>
        <v>176220.17093632877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"/>
        <v>25942.923570338982</v>
      </c>
      <c r="AC19" t="s">
        <v>1062</v>
      </c>
      <c r="AD19">
        <v>140</v>
      </c>
      <c r="AF19" s="26"/>
    </row>
    <row r="20" spans="1:32" x14ac:dyDescent="0.25">
      <c r="A20" s="92" t="s">
        <v>964</v>
      </c>
      <c r="B20" s="93">
        <f>$S20/(1+($AC$2-$O20+$P20)/36500)^$N20</f>
        <v>92711.808043765952</v>
      </c>
      <c r="C20" s="93">
        <f t="shared" si="3"/>
        <v>99403.54355157449</v>
      </c>
      <c r="D20" s="93">
        <f>$S20/(1+($AC$4-$O20+$P20)/36500)^$N20</f>
        <v>99982.576864053015</v>
      </c>
      <c r="E20" s="93">
        <f t="shared" si="5"/>
        <v>100564.9910916683</v>
      </c>
      <c r="F20" s="93">
        <f t="shared" si="6"/>
        <v>101150.80602195955</v>
      </c>
      <c r="G20" s="93">
        <f t="shared" si="7"/>
        <v>101740.04155853897</v>
      </c>
      <c r="H20" s="93">
        <f t="shared" si="8"/>
        <v>102332.71772179531</v>
      </c>
      <c r="I20" s="93">
        <f t="shared" si="9"/>
        <v>102928.85464955265</v>
      </c>
      <c r="J20" s="93">
        <f t="shared" si="10"/>
        <v>103528.47259780212</v>
      </c>
      <c r="K20" s="93">
        <f t="shared" si="11"/>
        <v>104131.59194136238</v>
      </c>
      <c r="L20" s="93">
        <f t="shared" si="12"/>
        <v>100564.9910916683</v>
      </c>
      <c r="M20" s="92" t="s">
        <v>983</v>
      </c>
      <c r="N20" s="92">
        <f>564-$AD$19</f>
        <v>424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13.901639344262295</v>
      </c>
      <c r="S20" s="93">
        <v>100000</v>
      </c>
      <c r="T20" s="93">
        <v>100000</v>
      </c>
      <c r="U20" s="93">
        <f t="shared" si="13"/>
        <v>126852.33977819573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"/>
        <v>27711.639350671609</v>
      </c>
      <c r="AF20" s="26"/>
    </row>
    <row r="21" spans="1:32" x14ac:dyDescent="0.25">
      <c r="A21" s="94" t="s">
        <v>965</v>
      </c>
      <c r="B21" s="95">
        <f t="shared" si="2"/>
        <v>87013.709681320208</v>
      </c>
      <c r="C21" s="95">
        <f t="shared" si="3"/>
        <v>93554.292088046437</v>
      </c>
      <c r="D21" s="95">
        <f t="shared" si="4"/>
        <v>94121.091098766148</v>
      </c>
      <c r="E21" s="95">
        <f t="shared" si="5"/>
        <v>94691.331897318451</v>
      </c>
      <c r="F21" s="95">
        <f t="shared" si="6"/>
        <v>95265.035430907708</v>
      </c>
      <c r="G21" s="95">
        <f t="shared" si="7"/>
        <v>95842.222774556081</v>
      </c>
      <c r="H21" s="95">
        <f t="shared" si="8"/>
        <v>96422.915131810762</v>
      </c>
      <c r="I21" s="95">
        <f t="shared" si="9"/>
        <v>97007.133835585046</v>
      </c>
      <c r="J21" s="95">
        <f t="shared" si="10"/>
        <v>97594.900348931478</v>
      </c>
      <c r="K21" s="95">
        <f t="shared" si="11"/>
        <v>98186.236265810003</v>
      </c>
      <c r="L21" s="95">
        <f t="shared" si="12"/>
        <v>94691.331897318451</v>
      </c>
      <c r="M21" s="94" t="s">
        <v>984</v>
      </c>
      <c r="N21" s="94">
        <f>581-$AD$19</f>
        <v>441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14.459016393442623</v>
      </c>
      <c r="S21" s="95">
        <v>100000</v>
      </c>
      <c r="T21" s="95">
        <v>92000</v>
      </c>
      <c r="U21" s="95">
        <f t="shared" si="13"/>
        <v>120562.01525056055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"/>
        <v>29520.15123606172</v>
      </c>
      <c r="AE21" s="25"/>
      <c r="AF21" s="26"/>
    </row>
    <row r="22" spans="1:32" x14ac:dyDescent="0.25">
      <c r="A22" s="90" t="s">
        <v>958</v>
      </c>
      <c r="B22" s="91">
        <f>$S22/(1+($AC$2-$O22+$P22)/36500)^$N22</f>
        <v>91577.070217578133</v>
      </c>
      <c r="C22" s="91">
        <f t="shared" si="3"/>
        <v>99306.815849533843</v>
      </c>
      <c r="D22" s="91">
        <f t="shared" si="4"/>
        <v>99979.74178244709</v>
      </c>
      <c r="E22" s="91">
        <f t="shared" si="5"/>
        <v>100657.23692904264</v>
      </c>
      <c r="F22" s="91">
        <f t="shared" si="6"/>
        <v>101339.3323778379</v>
      </c>
      <c r="G22" s="91">
        <f t="shared" si="7"/>
        <v>102026.05942929079</v>
      </c>
      <c r="H22" s="91">
        <f t="shared" si="8"/>
        <v>102717.44959727203</v>
      </c>
      <c r="I22" s="91">
        <f t="shared" si="9"/>
        <v>103413.53461049069</v>
      </c>
      <c r="J22" s="91">
        <f t="shared" si="10"/>
        <v>104114.34641400976</v>
      </c>
      <c r="K22" s="91">
        <f t="shared" si="11"/>
        <v>104819.91717068429</v>
      </c>
      <c r="L22" s="91">
        <f t="shared" si="12"/>
        <v>100657.23692904264</v>
      </c>
      <c r="M22" s="90" t="s">
        <v>985</v>
      </c>
      <c r="N22" s="90">
        <f>633-$AD$19</f>
        <v>493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16.16393442622951</v>
      </c>
      <c r="S22" s="91">
        <v>100000</v>
      </c>
      <c r="T22" s="91">
        <v>100000</v>
      </c>
      <c r="U22" s="91">
        <f t="shared" si="13"/>
        <v>131858.71780524275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"/>
        <v>31369.354638873108</v>
      </c>
      <c r="AE22" s="25"/>
      <c r="AF22" s="26"/>
    </row>
    <row r="23" spans="1:32" x14ac:dyDescent="0.25">
      <c r="A23" s="92" t="s">
        <v>951</v>
      </c>
      <c r="B23" s="93">
        <f>$S23/(1+($AC$2-$O23+$P23)/36500)^$N23</f>
        <v>90472.366728704685</v>
      </c>
      <c r="C23" s="93">
        <f t="shared" si="3"/>
        <v>99211.582086285183</v>
      </c>
      <c r="D23" s="93">
        <f t="shared" si="4"/>
        <v>99976.947867632072</v>
      </c>
      <c r="E23" s="93">
        <f t="shared" si="5"/>
        <v>100748.22865416737</v>
      </c>
      <c r="F23" s="93">
        <f t="shared" si="6"/>
        <v>101525.4702410279</v>
      </c>
      <c r="G23" s="93">
        <f t="shared" si="7"/>
        <v>102308.71877852516</v>
      </c>
      <c r="H23" s="93">
        <f t="shared" si="8"/>
        <v>103098.02077493268</v>
      </c>
      <c r="I23" s="93">
        <f t="shared" si="9"/>
        <v>103893.42309923045</v>
      </c>
      <c r="J23" s="93">
        <f t="shared" si="10"/>
        <v>104694.97298396235</v>
      </c>
      <c r="K23" s="93">
        <f t="shared" si="11"/>
        <v>105502.71802801527</v>
      </c>
      <c r="L23" s="93">
        <f t="shared" si="12"/>
        <v>100748.22865416737</v>
      </c>
      <c r="M23" s="92" t="s">
        <v>986</v>
      </c>
      <c r="N23" s="92">
        <f>701-$AD$19</f>
        <v>561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18.393442622950818</v>
      </c>
      <c r="S23" s="93">
        <v>100000</v>
      </c>
      <c r="T23" s="93">
        <v>100000</v>
      </c>
      <c r="U23" s="93">
        <f t="shared" si="13"/>
        <v>136985.81125768085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"/>
        <v>33260.165118247751</v>
      </c>
      <c r="AC23" t="s">
        <v>954</v>
      </c>
      <c r="AD23" t="s">
        <v>1063</v>
      </c>
      <c r="AE23" s="25"/>
      <c r="AF23" s="26"/>
    </row>
    <row r="24" spans="1:32" x14ac:dyDescent="0.25">
      <c r="A24" s="94" t="s">
        <v>966</v>
      </c>
      <c r="B24" s="95">
        <f t="shared" si="2"/>
        <v>85790.42658806128</v>
      </c>
      <c r="C24" s="95">
        <f t="shared" si="3"/>
        <v>94495.074067957758</v>
      </c>
      <c r="D24" s="95">
        <f t="shared" si="4"/>
        <v>95259.217496660785</v>
      </c>
      <c r="E24" s="95">
        <f t="shared" si="5"/>
        <v>96029.550838193129</v>
      </c>
      <c r="F24" s="95">
        <f t="shared" si="6"/>
        <v>96806.124319525101</v>
      </c>
      <c r="G24" s="95">
        <f t="shared" si="7"/>
        <v>97588.988575850366</v>
      </c>
      <c r="H24" s="95">
        <f t="shared" si="8"/>
        <v>98378.194653975035</v>
      </c>
      <c r="I24" s="95">
        <f t="shared" si="9"/>
        <v>99173.794015592968</v>
      </c>
      <c r="J24" s="95">
        <f t="shared" si="10"/>
        <v>99975.838540757497</v>
      </c>
      <c r="K24" s="95">
        <f t="shared" si="11"/>
        <v>100784.38053119036</v>
      </c>
      <c r="L24" s="95">
        <f t="shared" si="12"/>
        <v>96029.550838193129</v>
      </c>
      <c r="M24" s="94" t="s">
        <v>1015</v>
      </c>
      <c r="N24" s="94">
        <f>728-$AD$19</f>
        <v>588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19.278688524590162</v>
      </c>
      <c r="S24" s="95">
        <v>100000</v>
      </c>
      <c r="T24" s="95">
        <v>95000</v>
      </c>
      <c r="U24" s="95">
        <f t="shared" si="13"/>
        <v>132516.28323710797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0" t="s">
        <v>967</v>
      </c>
      <c r="B25" s="91">
        <f t="shared" si="2"/>
        <v>84578.239387551192</v>
      </c>
      <c r="C25" s="91">
        <f t="shared" si="3"/>
        <v>92290.787758352963</v>
      </c>
      <c r="D25" s="91">
        <f t="shared" si="4"/>
        <v>92964.458406300284</v>
      </c>
      <c r="E25" s="91">
        <f t="shared" si="5"/>
        <v>93643.055798024565</v>
      </c>
      <c r="F25" s="91">
        <f t="shared" si="6"/>
        <v>94326.61603239135</v>
      </c>
      <c r="G25" s="91">
        <f t="shared" si="7"/>
        <v>95015.175473315641</v>
      </c>
      <c r="H25" s="91">
        <f t="shared" si="8"/>
        <v>95708.770751622316</v>
      </c>
      <c r="I25" s="91">
        <f t="shared" si="9"/>
        <v>96407.438767075873</v>
      </c>
      <c r="J25" s="91">
        <f t="shared" si="10"/>
        <v>97111.21669033634</v>
      </c>
      <c r="K25" s="91">
        <f t="shared" si="11"/>
        <v>97820.141964919661</v>
      </c>
      <c r="L25" s="91">
        <f t="shared" si="12"/>
        <v>93643.055798024565</v>
      </c>
      <c r="M25" s="90" t="s">
        <v>987</v>
      </c>
      <c r="N25" s="90">
        <f>671-$AD$19</f>
        <v>531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17.409836065573771</v>
      </c>
      <c r="S25" s="91">
        <v>100000</v>
      </c>
      <c r="T25" s="91">
        <v>90600</v>
      </c>
      <c r="U25" s="91">
        <f t="shared" si="13"/>
        <v>125251.8271488037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"/>
        <v>37170.373007160008</v>
      </c>
      <c r="AE25" s="25"/>
      <c r="AF25" s="26"/>
    </row>
    <row r="26" spans="1:32" x14ac:dyDescent="0.25">
      <c r="A26" s="92" t="s">
        <v>968</v>
      </c>
      <c r="B26" s="93">
        <f t="shared" si="2"/>
        <v>74806.924568996372</v>
      </c>
      <c r="C26" s="93">
        <f t="shared" si="3"/>
        <v>85951.0775927465</v>
      </c>
      <c r="D26" s="93">
        <f>$S26/(1+($AC$4-$O26+$P26)/36500)^$N26</f>
        <v>86951.597845494616</v>
      </c>
      <c r="E26" s="93">
        <f t="shared" si="5"/>
        <v>87963.778676099784</v>
      </c>
      <c r="F26" s="93">
        <f t="shared" si="6"/>
        <v>88987.756145452309</v>
      </c>
      <c r="G26" s="93">
        <f t="shared" si="7"/>
        <v>90023.66790397944</v>
      </c>
      <c r="H26" s="93">
        <f t="shared" si="8"/>
        <v>91071.653210145741</v>
      </c>
      <c r="I26" s="93">
        <f t="shared" si="9"/>
        <v>92131.852949412161</v>
      </c>
      <c r="J26" s="93">
        <f t="shared" si="10"/>
        <v>93204.409653110808</v>
      </c>
      <c r="K26" s="93">
        <f t="shared" si="11"/>
        <v>94289.467517829922</v>
      </c>
      <c r="L26" s="93">
        <f t="shared" si="12"/>
        <v>87963.778676099784</v>
      </c>
      <c r="M26" s="92" t="s">
        <v>988</v>
      </c>
      <c r="N26" s="92">
        <f>985-$AD$19</f>
        <v>845</v>
      </c>
      <c r="O26" s="92">
        <v>15</v>
      </c>
      <c r="P26" s="92">
        <f>$AI$2</f>
        <v>0.54</v>
      </c>
      <c r="Q26" s="92">
        <v>6</v>
      </c>
      <c r="R26" s="92">
        <f t="shared" si="0"/>
        <v>27.704918032786885</v>
      </c>
      <c r="S26" s="93">
        <v>100000</v>
      </c>
      <c r="T26" s="93">
        <v>85800</v>
      </c>
      <c r="U26" s="93">
        <f t="shared" si="13"/>
        <v>139735.01408267449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"/>
        <v>39191.706399821109</v>
      </c>
      <c r="AE26" s="25"/>
      <c r="AF26" s="26"/>
    </row>
    <row r="27" spans="1:32" x14ac:dyDescent="0.25">
      <c r="A27" s="94" t="s">
        <v>942</v>
      </c>
      <c r="B27" s="95">
        <f>$S27/(1+($AC$2-$O27+$P27)/36500)^$N27</f>
        <v>84798.025981288054</v>
      </c>
      <c r="C27" s="95">
        <f t="shared" si="3"/>
        <v>87962.071033883316</v>
      </c>
      <c r="D27" s="95">
        <f t="shared" si="4"/>
        <v>88231.034787909244</v>
      </c>
      <c r="E27" s="95">
        <f t="shared" si="5"/>
        <v>88500.824658207144</v>
      </c>
      <c r="F27" s="95">
        <f t="shared" si="6"/>
        <v>88771.443193543644</v>
      </c>
      <c r="G27" s="95">
        <f t="shared" si="7"/>
        <v>89042.892950571229</v>
      </c>
      <c r="H27" s="95">
        <f t="shared" si="8"/>
        <v>89315.176493878505</v>
      </c>
      <c r="I27" s="95">
        <f t="shared" si="9"/>
        <v>89588.296395991463</v>
      </c>
      <c r="J27" s="95">
        <f t="shared" si="10"/>
        <v>89862.255237413279</v>
      </c>
      <c r="K27" s="95">
        <f t="shared" si="11"/>
        <v>90137.055606652008</v>
      </c>
      <c r="L27" s="95">
        <f t="shared" si="12"/>
        <v>88500.824658207144</v>
      </c>
      <c r="M27" s="94" t="s">
        <v>989</v>
      </c>
      <c r="N27" s="94">
        <f>363-$AD$19</f>
        <v>223</v>
      </c>
      <c r="O27" s="94">
        <v>0</v>
      </c>
      <c r="P27" s="94">
        <v>0</v>
      </c>
      <c r="Q27" s="94">
        <v>0</v>
      </c>
      <c r="R27" s="94">
        <f t="shared" si="0"/>
        <v>7.3114754098360653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"/>
        <v>41258.519793817082</v>
      </c>
      <c r="AE27" s="25"/>
      <c r="AF27" s="26"/>
    </row>
    <row r="28" spans="1:32" x14ac:dyDescent="0.25">
      <c r="A28" s="90" t="s">
        <v>977</v>
      </c>
      <c r="B28" s="91">
        <f t="shared" si="2"/>
        <v>79183.200081530129</v>
      </c>
      <c r="C28" s="91">
        <f t="shared" si="3"/>
        <v>95344.293222244043</v>
      </c>
      <c r="D28" s="91">
        <f t="shared" si="4"/>
        <v>96831.599720600439</v>
      </c>
      <c r="E28" s="91">
        <f t="shared" si="5"/>
        <v>98342.128046526021</v>
      </c>
      <c r="F28" s="91">
        <f t="shared" si="6"/>
        <v>99876.241095997131</v>
      </c>
      <c r="G28" s="91">
        <f t="shared" si="7"/>
        <v>101434.30744114557</v>
      </c>
      <c r="H28" s="91">
        <f t="shared" si="8"/>
        <v>103016.70141919548</v>
      </c>
      <c r="I28" s="91">
        <f t="shared" si="9"/>
        <v>104623.80322266779</v>
      </c>
      <c r="J28" s="91">
        <f t="shared" si="10"/>
        <v>106255.9989910515</v>
      </c>
      <c r="K28" s="91">
        <f t="shared" si="11"/>
        <v>107913.68090396495</v>
      </c>
      <c r="L28" s="91">
        <f t="shared" si="12"/>
        <v>98342.128046526021</v>
      </c>
      <c r="M28" s="90" t="s">
        <v>980</v>
      </c>
      <c r="N28" s="90">
        <f>1270-$AD$19</f>
        <v>1130</v>
      </c>
      <c r="O28" s="90">
        <v>20</v>
      </c>
      <c r="P28" s="90">
        <f>$AI$2</f>
        <v>0.54</v>
      </c>
      <c r="Q28" s="90">
        <v>6</v>
      </c>
      <c r="R28" s="90">
        <f t="shared" si="0"/>
        <v>37.049180327868854</v>
      </c>
      <c r="S28" s="91">
        <v>100000</v>
      </c>
      <c r="T28" s="91">
        <v>100000</v>
      </c>
      <c r="U28" s="91">
        <f t="shared" si="13"/>
        <v>182608.6894777343</v>
      </c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92" t="s">
        <v>981</v>
      </c>
      <c r="B29" s="93">
        <f t="shared" si="2"/>
        <v>96818.501575813614</v>
      </c>
      <c r="C29" s="93">
        <f t="shared" si="3"/>
        <v>100284.76273461958</v>
      </c>
      <c r="D29" s="93">
        <f t="shared" si="4"/>
        <v>100579.1854725326</v>
      </c>
      <c r="E29" s="93">
        <f t="shared" si="5"/>
        <v>100874.4766475798</v>
      </c>
      <c r="F29" s="93">
        <f t="shared" si="6"/>
        <v>101170.63883327898</v>
      </c>
      <c r="G29" s="93">
        <f t="shared" si="7"/>
        <v>101467.67461080063</v>
      </c>
      <c r="H29" s="93">
        <f t="shared" si="8"/>
        <v>101765.58656901128</v>
      </c>
      <c r="I29" s="93">
        <f t="shared" si="9"/>
        <v>102064.37730447935</v>
      </c>
      <c r="J29" s="93">
        <f t="shared" si="10"/>
        <v>102364.04942150334</v>
      </c>
      <c r="K29" s="93">
        <f t="shared" si="11"/>
        <v>102664.60553213712</v>
      </c>
      <c r="L29" s="93">
        <f t="shared" si="12"/>
        <v>100874.4766475798</v>
      </c>
      <c r="M29" s="92" t="s">
        <v>982</v>
      </c>
      <c r="N29" s="92">
        <f>354-$AD$19</f>
        <v>214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7.0163934426229506</v>
      </c>
      <c r="S29" s="93">
        <v>100000</v>
      </c>
      <c r="T29" s="93">
        <v>103000</v>
      </c>
      <c r="U29" s="93">
        <f t="shared" si="13"/>
        <v>113418.09618347116</v>
      </c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"/>
        <v>45532.70281018447</v>
      </c>
      <c r="AE29" s="25"/>
      <c r="AF29" s="26"/>
    </row>
    <row r="30" spans="1:32" x14ac:dyDescent="0.25">
      <c r="A30" s="94" t="s">
        <v>1007</v>
      </c>
      <c r="B30" s="95">
        <f t="shared" si="2"/>
        <v>90088.741650731725</v>
      </c>
      <c r="C30" s="95">
        <f t="shared" si="3"/>
        <v>100000</v>
      </c>
      <c r="D30" s="95">
        <f t="shared" si="4"/>
        <v>100873.66332585072</v>
      </c>
      <c r="E30" s="95">
        <f t="shared" si="5"/>
        <v>101754.97165315154</v>
      </c>
      <c r="F30" s="95">
        <f t="shared" si="6"/>
        <v>102643.99198569726</v>
      </c>
      <c r="G30" s="95">
        <f t="shared" si="7"/>
        <v>103540.79191542503</v>
      </c>
      <c r="H30" s="95">
        <f t="shared" si="8"/>
        <v>104445.43962767247</v>
      </c>
      <c r="I30" s="95">
        <f t="shared" si="9"/>
        <v>105358.00390630083</v>
      </c>
      <c r="J30" s="95">
        <f t="shared" si="10"/>
        <v>106278.55413901916</v>
      </c>
      <c r="K30" s="95">
        <f t="shared" si="11"/>
        <v>107207.16032265934</v>
      </c>
      <c r="L30" s="95">
        <f t="shared" si="12"/>
        <v>101754.97165315154</v>
      </c>
      <c r="M30" s="94" t="s">
        <v>1008</v>
      </c>
      <c r="N30" s="94">
        <f>775-$AD$19</f>
        <v>635</v>
      </c>
      <c r="O30" s="94">
        <v>21</v>
      </c>
      <c r="P30" s="94">
        <v>0</v>
      </c>
      <c r="Q30" s="94">
        <v>1</v>
      </c>
      <c r="R30" s="94">
        <f t="shared" si="0"/>
        <v>20.819672131147541</v>
      </c>
      <c r="S30" s="95">
        <v>100000</v>
      </c>
      <c r="T30" s="95">
        <v>104000</v>
      </c>
      <c r="U30" s="95">
        <f t="shared" si="13"/>
        <v>144076.95717061439</v>
      </c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"/>
        <v>47742.188623413618</v>
      </c>
      <c r="AD30" s="25"/>
      <c r="AE30" s="26"/>
    </row>
    <row r="31" spans="1:32" x14ac:dyDescent="0.25">
      <c r="A31" s="90" t="s">
        <v>1057</v>
      </c>
      <c r="B31" s="91">
        <f t="shared" si="2"/>
        <v>70901.967905652753</v>
      </c>
      <c r="C31" s="91">
        <f t="shared" si="3"/>
        <v>86231.761824837478</v>
      </c>
      <c r="D31" s="91">
        <f t="shared" si="4"/>
        <v>87650.010186689964</v>
      </c>
      <c r="E31" s="91">
        <f t="shared" si="5"/>
        <v>89091.604297189115</v>
      </c>
      <c r="F31" s="91">
        <f t="shared" si="6"/>
        <v>90556.928777729248</v>
      </c>
      <c r="G31" s="91">
        <f t="shared" si="7"/>
        <v>92046.374591824482</v>
      </c>
      <c r="H31" s="91">
        <f t="shared" si="8"/>
        <v>93560.339149706429</v>
      </c>
      <c r="I31" s="91">
        <f t="shared" si="9"/>
        <v>95099.226414578108</v>
      </c>
      <c r="J31" s="91">
        <f t="shared" si="10"/>
        <v>96663.44701105915</v>
      </c>
      <c r="K31" s="91">
        <f t="shared" si="11"/>
        <v>98253.41833481146</v>
      </c>
      <c r="L31" s="91">
        <f t="shared" si="12"/>
        <v>89091.604297189115</v>
      </c>
      <c r="M31" s="90" t="s">
        <v>1058</v>
      </c>
      <c r="N31" s="90">
        <f>1331-$AD$19</f>
        <v>1191</v>
      </c>
      <c r="O31" s="90">
        <v>17</v>
      </c>
      <c r="P31" s="90">
        <f>AI2</f>
        <v>0.54</v>
      </c>
      <c r="Q31" s="90">
        <v>6</v>
      </c>
      <c r="R31" s="90">
        <f t="shared" si="0"/>
        <v>39.049180327868854</v>
      </c>
      <c r="S31" s="91">
        <v>100000</v>
      </c>
      <c r="T31" s="91"/>
      <c r="U31" s="91">
        <f t="shared" si="13"/>
        <v>171055.17992711044</v>
      </c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"/>
        <v>64664.998090863708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"/>
        <v>67304.960547908137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"/>
        <v>70004.322160236072</v>
      </c>
      <c r="AD39" s="25"/>
      <c r="AE39" s="26"/>
    </row>
    <row r="40" spans="1:3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"/>
        <v>72764.419408841379</v>
      </c>
      <c r="AD40" s="25"/>
      <c r="AE40" s="26"/>
    </row>
    <row r="41" spans="1:3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"/>
        <v>75586.618845540303</v>
      </c>
      <c r="AD41" s="25"/>
      <c r="AE41" s="26"/>
    </row>
    <row r="42" spans="1:31" x14ac:dyDescent="0.25"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"/>
        <v>78472.31776956495</v>
      </c>
      <c r="AD42" s="25"/>
      <c r="AE42" s="26"/>
    </row>
    <row r="43" spans="1:31" x14ac:dyDescent="0.25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"/>
        <v>81422.944919380156</v>
      </c>
      <c r="AD43" s="25"/>
      <c r="AE43" s="26"/>
    </row>
    <row r="44" spans="1:31" x14ac:dyDescent="0.25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"/>
        <v>84439.96118006621</v>
      </c>
      <c r="AD44" s="25"/>
      <c r="AE44" s="26"/>
    </row>
    <row r="45" spans="1:31" x14ac:dyDescent="0.25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"/>
        <v>87524.860306617702</v>
      </c>
      <c r="AD45" s="25"/>
      <c r="AE45" s="26"/>
    </row>
    <row r="46" spans="1:31" x14ac:dyDescent="0.25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"/>
        <v>90679.169663516601</v>
      </c>
      <c r="AD46" s="25"/>
      <c r="AE46" s="26"/>
    </row>
    <row r="47" spans="1:31" x14ac:dyDescent="0.25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"/>
        <v>93904.450980945723</v>
      </c>
      <c r="AD47" s="25"/>
      <c r="AE47" s="26"/>
    </row>
    <row r="48" spans="1:31" x14ac:dyDescent="0.25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"/>
        <v>100574.35290339738</v>
      </c>
      <c r="AD49" s="25"/>
      <c r="AE49" s="26"/>
    </row>
    <row r="50" spans="1:31" x14ac:dyDescent="0.25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AD63" s="25"/>
      <c r="AE63" s="26"/>
    </row>
    <row r="64" spans="1:31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 x14ac:dyDescent="0.25">
      <c r="AD65" s="25"/>
      <c r="AE65" s="26"/>
    </row>
    <row r="66" spans="19:31" x14ac:dyDescent="0.25">
      <c r="AD66" s="25"/>
      <c r="AE66" s="26"/>
    </row>
    <row r="67" spans="19:31" x14ac:dyDescent="0.25">
      <c r="S67" t="s">
        <v>25</v>
      </c>
      <c r="AD67" s="25"/>
      <c r="AE67" s="26"/>
    </row>
    <row r="68" spans="19:31" x14ac:dyDescent="0.25">
      <c r="T68" t="s">
        <v>25</v>
      </c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1070</v>
      </c>
    </row>
    <row r="2" spans="1:1" x14ac:dyDescent="0.25">
      <c r="A2" t="s">
        <v>1071</v>
      </c>
    </row>
    <row r="3" spans="1:1" x14ac:dyDescent="0.25">
      <c r="A3" t="s">
        <v>1072</v>
      </c>
    </row>
    <row r="4" spans="1:1" x14ac:dyDescent="0.25">
      <c r="A4" t="s">
        <v>1073</v>
      </c>
    </row>
    <row r="5" spans="1:1" x14ac:dyDescent="0.25">
      <c r="A5" t="s">
        <v>1074</v>
      </c>
    </row>
    <row r="6" spans="1:1" x14ac:dyDescent="0.25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3" workbookViewId="0">
      <selection activeCell="U28" sqref="U28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9" t="s">
        <v>1106</v>
      </c>
      <c r="AI1" s="189"/>
      <c r="AJ1" s="189"/>
      <c r="AK1" s="189"/>
    </row>
    <row r="2" spans="10:37" x14ac:dyDescent="0.25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9"/>
      <c r="AI2" s="189"/>
      <c r="AJ2" s="189"/>
      <c r="AK2" s="189"/>
    </row>
    <row r="3" spans="10:37" x14ac:dyDescent="0.25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0" t="s">
        <v>1107</v>
      </c>
      <c r="AI3" s="191" t="s">
        <v>1108</v>
      </c>
      <c r="AJ3" s="190" t="s">
        <v>1109</v>
      </c>
      <c r="AK3" s="192" t="s">
        <v>1110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0"/>
      <c r="AI4" s="191"/>
      <c r="AJ4" s="190"/>
      <c r="AK4" s="192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 x14ac:dyDescent="0.25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3740</v>
      </c>
      <c r="AK23" s="105"/>
    </row>
    <row r="24" spans="5:37" x14ac:dyDescent="0.25">
      <c r="T24" t="s">
        <v>25</v>
      </c>
      <c r="AJ24" s="105" t="s">
        <v>3741</v>
      </c>
      <c r="AK24" s="105">
        <v>6145</v>
      </c>
    </row>
    <row r="25" spans="5:37" x14ac:dyDescent="0.25">
      <c r="AJ25" s="105" t="s">
        <v>3747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 x14ac:dyDescent="0.25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 x14ac:dyDescent="0.25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4015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1134</v>
      </c>
      <c r="G39" s="98">
        <v>1214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1135</v>
      </c>
      <c r="G40" s="98">
        <v>8500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1136</v>
      </c>
      <c r="G42" s="101">
        <f>G36*G38*G39*G40/(G35*G37)+G41</f>
        <v>2433681.1672025719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 x14ac:dyDescent="0.25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3902</v>
      </c>
      <c r="B91" s="90">
        <f>116-'اوراق بدون ریسک'!$AD$19</f>
        <v>-24</v>
      </c>
      <c r="C91" s="152">
        <f>$B$89/(1+(C$90/36500))^$B91</f>
        <v>3035708.9470489561</v>
      </c>
      <c r="D91" s="152">
        <f>$B$89/(1+(D$90/36500))^$B91</f>
        <v>3037704.6741690729</v>
      </c>
      <c r="E91" s="152">
        <f t="shared" ref="E91:L106" si="5">$B$89/(1+(E$90/36500))^$B91</f>
        <v>3039701.6586122676</v>
      </c>
      <c r="F91" s="152">
        <f t="shared" si="5"/>
        <v>3041699.9011362046</v>
      </c>
      <c r="G91" s="152">
        <f t="shared" si="5"/>
        <v>3043699.402498953</v>
      </c>
      <c r="H91" s="152">
        <f t="shared" si="5"/>
        <v>3045700.1634590905</v>
      </c>
      <c r="I91" s="152">
        <f t="shared" si="5"/>
        <v>3047702.1847755727</v>
      </c>
      <c r="J91" s="152">
        <f t="shared" si="5"/>
        <v>3049705.4672077959</v>
      </c>
      <c r="K91" s="152">
        <f>$B$89/(1+(K$90/36500))^$B91</f>
        <v>3051710.0115156071</v>
      </c>
      <c r="L91" s="152">
        <f t="shared" si="5"/>
        <v>3053715.818459298</v>
      </c>
    </row>
    <row r="92" spans="1:12" x14ac:dyDescent="0.25">
      <c r="A92" s="153" t="s">
        <v>3903</v>
      </c>
      <c r="B92" s="92">
        <f>120-'اوراق بدون ریسک'!$AD$19</f>
        <v>-20</v>
      </c>
      <c r="C92" s="154">
        <f t="shared" ref="C92:L112" si="6">$B$89/(1+(C$90/36500))^$B92</f>
        <v>3029728.0747588817</v>
      </c>
      <c r="D92" s="154">
        <f t="shared" si="6"/>
        <v>3031387.8131755237</v>
      </c>
      <c r="E92" s="154">
        <f t="shared" si="5"/>
        <v>3033048.4153407593</v>
      </c>
      <c r="F92" s="154">
        <f t="shared" si="5"/>
        <v>3034709.8816804243</v>
      </c>
      <c r="G92" s="154">
        <f t="shared" si="5"/>
        <v>3036372.2126205298</v>
      </c>
      <c r="H92" s="154">
        <f t="shared" si="5"/>
        <v>3038035.408587344</v>
      </c>
      <c r="I92" s="154">
        <f t="shared" si="5"/>
        <v>3039699.4700072859</v>
      </c>
      <c r="J92" s="154">
        <f t="shared" si="5"/>
        <v>3041364.397306975</v>
      </c>
      <c r="K92" s="154">
        <f t="shared" si="5"/>
        <v>3043030.1909132446</v>
      </c>
      <c r="L92" s="154">
        <f t="shared" si="5"/>
        <v>3044696.8512531277</v>
      </c>
    </row>
    <row r="93" spans="1:12" x14ac:dyDescent="0.25">
      <c r="A93" s="155" t="s">
        <v>3904</v>
      </c>
      <c r="B93" s="156">
        <f>137-'اوراق بدون ریسک'!$AD$19</f>
        <v>-3</v>
      </c>
      <c r="C93" s="157">
        <f t="shared" si="6"/>
        <v>3004440.5453025647</v>
      </c>
      <c r="D93" s="157">
        <f t="shared" si="6"/>
        <v>3004687.3706614776</v>
      </c>
      <c r="E93" s="157">
        <f t="shared" si="5"/>
        <v>3004934.2095384006</v>
      </c>
      <c r="F93" s="157">
        <f t="shared" si="5"/>
        <v>3005181.0619337056</v>
      </c>
      <c r="G93" s="157">
        <f t="shared" si="5"/>
        <v>3005427.9278477593</v>
      </c>
      <c r="H93" s="157">
        <f t="shared" si="5"/>
        <v>3005674.8072809358</v>
      </c>
      <c r="I93" s="157">
        <f t="shared" si="5"/>
        <v>3005921.7002336038</v>
      </c>
      <c r="J93" s="157">
        <f t="shared" si="5"/>
        <v>3006168.6067061336</v>
      </c>
      <c r="K93" s="157">
        <f t="shared" si="5"/>
        <v>3006415.5266988953</v>
      </c>
      <c r="L93" s="157">
        <f t="shared" si="5"/>
        <v>3006662.4602122591</v>
      </c>
    </row>
    <row r="94" spans="1:12" x14ac:dyDescent="0.25">
      <c r="A94" s="158" t="s">
        <v>3905</v>
      </c>
      <c r="B94" s="159">
        <f>116-'اوراق بدون ریسک'!$AD$19</f>
        <v>-24</v>
      </c>
      <c r="C94" s="160">
        <f t="shared" si="6"/>
        <v>3035708.9470489561</v>
      </c>
      <c r="D94" s="160">
        <f t="shared" si="6"/>
        <v>3037704.6741690729</v>
      </c>
      <c r="E94" s="160">
        <f t="shared" si="5"/>
        <v>3039701.6586122676</v>
      </c>
      <c r="F94" s="160">
        <f t="shared" si="5"/>
        <v>3041699.9011362046</v>
      </c>
      <c r="G94" s="160">
        <f t="shared" si="5"/>
        <v>3043699.402498953</v>
      </c>
      <c r="H94" s="160">
        <f t="shared" si="5"/>
        <v>3045700.1634590905</v>
      </c>
      <c r="I94" s="160">
        <f t="shared" si="5"/>
        <v>3047702.1847755727</v>
      </c>
      <c r="J94" s="160">
        <f t="shared" si="5"/>
        <v>3049705.4672077959</v>
      </c>
      <c r="K94" s="160">
        <f t="shared" si="5"/>
        <v>3051710.0115156071</v>
      </c>
      <c r="L94" s="160">
        <f t="shared" si="5"/>
        <v>3053715.818459298</v>
      </c>
    </row>
    <row r="95" spans="1:12" x14ac:dyDescent="0.25">
      <c r="A95" s="161" t="s">
        <v>3906</v>
      </c>
      <c r="B95" s="162">
        <f>167-'اوراق بدون ریسک'!$AD$19</f>
        <v>27</v>
      </c>
      <c r="C95" s="163">
        <f t="shared" si="6"/>
        <v>2960329.2707382925</v>
      </c>
      <c r="D95" s="163">
        <f t="shared" si="6"/>
        <v>2958141.3563981187</v>
      </c>
      <c r="E95" s="163">
        <f t="shared" si="5"/>
        <v>2955955.1189418174</v>
      </c>
      <c r="F95" s="163">
        <f t="shared" si="5"/>
        <v>2953770.5570383095</v>
      </c>
      <c r="G95" s="163">
        <f t="shared" si="5"/>
        <v>2951587.6693576383</v>
      </c>
      <c r="H95" s="163">
        <f t="shared" si="5"/>
        <v>2949406.4545708648</v>
      </c>
      <c r="I95" s="163">
        <f t="shared" si="5"/>
        <v>2947226.9113502009</v>
      </c>
      <c r="J95" s="163">
        <f t="shared" si="5"/>
        <v>2945049.0383689469</v>
      </c>
      <c r="K95" s="163">
        <f t="shared" si="5"/>
        <v>2942872.8343014726</v>
      </c>
      <c r="L95" s="163">
        <f t="shared" si="5"/>
        <v>2940698.2978232363</v>
      </c>
    </row>
    <row r="96" spans="1:12" x14ac:dyDescent="0.25">
      <c r="A96" s="166" t="s">
        <v>3907</v>
      </c>
      <c r="B96" s="167">
        <f>181-'اوراق بدون ریسک'!$AD$19</f>
        <v>41</v>
      </c>
      <c r="C96" s="168">
        <f t="shared" si="6"/>
        <v>2939966.2288479325</v>
      </c>
      <c r="D96" s="168">
        <f t="shared" si="6"/>
        <v>2936667.3262305688</v>
      </c>
      <c r="E96" s="168">
        <f t="shared" si="5"/>
        <v>2933372.215454882</v>
      </c>
      <c r="F96" s="168">
        <f t="shared" si="5"/>
        <v>2930080.8920587832</v>
      </c>
      <c r="G96" s="168">
        <f t="shared" si="5"/>
        <v>2926793.3515855996</v>
      </c>
      <c r="H96" s="168">
        <f t="shared" si="5"/>
        <v>2923509.5895839129</v>
      </c>
      <c r="I96" s="168">
        <f t="shared" si="5"/>
        <v>2920229.6016077558</v>
      </c>
      <c r="J96" s="168">
        <f t="shared" si="5"/>
        <v>2916953.3832165105</v>
      </c>
      <c r="K96" s="168">
        <f t="shared" si="5"/>
        <v>2913680.9299748763</v>
      </c>
      <c r="L96" s="168">
        <f t="shared" si="5"/>
        <v>2910412.2374528884</v>
      </c>
    </row>
    <row r="97" spans="1:12" x14ac:dyDescent="0.25">
      <c r="A97" s="169" t="s">
        <v>3908</v>
      </c>
      <c r="B97" s="88">
        <f>197-'اوراق بدون ریسک'!$AD$19</f>
        <v>57</v>
      </c>
      <c r="C97" s="148">
        <f t="shared" si="6"/>
        <v>2916865.6390593918</v>
      </c>
      <c r="D97" s="148">
        <f t="shared" si="6"/>
        <v>2912316.3926723166</v>
      </c>
      <c r="E97" s="148">
        <f t="shared" si="5"/>
        <v>2907774.3657291452</v>
      </c>
      <c r="F97" s="148">
        <f t="shared" si="5"/>
        <v>2903239.5465757377</v>
      </c>
      <c r="G97" s="148">
        <f t="shared" si="5"/>
        <v>2898711.9235771471</v>
      </c>
      <c r="H97" s="148">
        <f t="shared" si="5"/>
        <v>2894191.4851173707</v>
      </c>
      <c r="I97" s="148">
        <f t="shared" si="5"/>
        <v>2889678.2195996</v>
      </c>
      <c r="J97" s="148">
        <f t="shared" si="5"/>
        <v>2885172.1154460553</v>
      </c>
      <c r="K97" s="148">
        <f t="shared" si="5"/>
        <v>2880673.1610979242</v>
      </c>
      <c r="L97" s="148">
        <f t="shared" si="5"/>
        <v>2876181.3450153568</v>
      </c>
    </row>
    <row r="98" spans="1:12" x14ac:dyDescent="0.25">
      <c r="A98" s="170" t="s">
        <v>3909</v>
      </c>
      <c r="B98" s="127">
        <f>214-'اوراق بدون ریسک'!$AD$19</f>
        <v>74</v>
      </c>
      <c r="C98" s="112">
        <f t="shared" si="6"/>
        <v>2892520.1123494725</v>
      </c>
      <c r="D98" s="112">
        <f t="shared" si="6"/>
        <v>2886664.7303916649</v>
      </c>
      <c r="E98" s="112">
        <f t="shared" si="5"/>
        <v>2880821.3614409678</v>
      </c>
      <c r="F98" s="112">
        <f t="shared" si="5"/>
        <v>2874989.9805233451</v>
      </c>
      <c r="G98" s="112">
        <f t="shared" si="5"/>
        <v>2869170.5627174452</v>
      </c>
      <c r="H98" s="112">
        <f t="shared" si="5"/>
        <v>2863363.0831541978</v>
      </c>
      <c r="I98" s="112">
        <f t="shared" si="5"/>
        <v>2857567.5170170758</v>
      </c>
      <c r="J98" s="112">
        <f t="shared" si="5"/>
        <v>2851783.8395418124</v>
      </c>
      <c r="K98" s="112">
        <f t="shared" si="5"/>
        <v>2846012.0260162395</v>
      </c>
      <c r="L98" s="112">
        <f t="shared" si="5"/>
        <v>2840252.0517802224</v>
      </c>
    </row>
    <row r="99" spans="1:12" x14ac:dyDescent="0.25">
      <c r="A99" s="171" t="s">
        <v>3910</v>
      </c>
      <c r="B99" s="172">
        <f>272-'اوراق بدون ریسک'!$AD$19</f>
        <v>132</v>
      </c>
      <c r="C99" s="173">
        <f t="shared" si="6"/>
        <v>2810977.9396372028</v>
      </c>
      <c r="D99" s="173">
        <f t="shared" si="6"/>
        <v>2800835.7022199044</v>
      </c>
      <c r="E99" s="173">
        <f t="shared" si="5"/>
        <v>2790730.3350407891</v>
      </c>
      <c r="F99" s="173">
        <f t="shared" si="5"/>
        <v>2780661.7030607956</v>
      </c>
      <c r="G99" s="173">
        <f t="shared" si="5"/>
        <v>2770629.6717392704</v>
      </c>
      <c r="H99" s="173">
        <f t="shared" si="5"/>
        <v>2760634.107031615</v>
      </c>
      <c r="I99" s="173">
        <f t="shared" si="5"/>
        <v>2750674.8753880882</v>
      </c>
      <c r="J99" s="173">
        <f t="shared" si="5"/>
        <v>2740751.8437516671</v>
      </c>
      <c r="K99" s="173">
        <f t="shared" si="5"/>
        <v>2730864.8795561343</v>
      </c>
      <c r="L99" s="173">
        <f t="shared" si="5"/>
        <v>2721013.850724333</v>
      </c>
    </row>
    <row r="100" spans="1:12" x14ac:dyDescent="0.25">
      <c r="A100" s="155" t="s">
        <v>3911</v>
      </c>
      <c r="B100" s="156">
        <f>302-'اوراق بدون ریسک'!$AD$19</f>
        <v>162</v>
      </c>
      <c r="C100" s="157">
        <f t="shared" si="6"/>
        <v>2769707.0881026913</v>
      </c>
      <c r="D100" s="157">
        <f t="shared" si="6"/>
        <v>2757447.5814397554</v>
      </c>
      <c r="E100" s="157">
        <f t="shared" si="5"/>
        <v>2745242.6722903978</v>
      </c>
      <c r="F100" s="157">
        <f t="shared" si="5"/>
        <v>2733092.1160204518</v>
      </c>
      <c r="G100" s="157">
        <f t="shared" si="5"/>
        <v>2720995.6690986999</v>
      </c>
      <c r="H100" s="157">
        <f t="shared" si="5"/>
        <v>2708953.0890912777</v>
      </c>
      <c r="I100" s="157">
        <f t="shared" si="5"/>
        <v>2696964.13465747</v>
      </c>
      <c r="J100" s="157">
        <f t="shared" si="5"/>
        <v>2685028.5655443957</v>
      </c>
      <c r="K100" s="157">
        <f t="shared" si="5"/>
        <v>2673146.1425819765</v>
      </c>
      <c r="L100" s="157">
        <f t="shared" si="5"/>
        <v>2661316.6276781219</v>
      </c>
    </row>
    <row r="101" spans="1:12" x14ac:dyDescent="0.25">
      <c r="A101" s="158" t="s">
        <v>3912</v>
      </c>
      <c r="B101" s="159">
        <f>319-'اوراق بدون ریسک'!$AD$19</f>
        <v>179</v>
      </c>
      <c r="C101" s="160">
        <f t="shared" si="6"/>
        <v>2746589.8155793673</v>
      </c>
      <c r="D101" s="160">
        <f t="shared" si="6"/>
        <v>2733160.0025579873</v>
      </c>
      <c r="E101" s="160">
        <f t="shared" si="5"/>
        <v>2719796.2214273582</v>
      </c>
      <c r="F101" s="160">
        <f t="shared" si="5"/>
        <v>2706498.1457261788</v>
      </c>
      <c r="G101" s="160">
        <f t="shared" si="5"/>
        <v>2693265.4506162303</v>
      </c>
      <c r="H101" s="160">
        <f t="shared" si="5"/>
        <v>2680097.8128736084</v>
      </c>
      <c r="I101" s="160">
        <f t="shared" si="5"/>
        <v>2666994.910881503</v>
      </c>
      <c r="J101" s="160">
        <f t="shared" si="5"/>
        <v>2653956.4246217706</v>
      </c>
      <c r="K101" s="160">
        <f t="shared" si="5"/>
        <v>2640982.0356668402</v>
      </c>
      <c r="L101" s="160">
        <f t="shared" si="5"/>
        <v>2628071.4271718659</v>
      </c>
    </row>
    <row r="102" spans="1:12" x14ac:dyDescent="0.25">
      <c r="A102" s="155" t="s">
        <v>3913</v>
      </c>
      <c r="B102" s="156">
        <f>334-'اوراق بدون ریسک'!$AD$19</f>
        <v>194</v>
      </c>
      <c r="C102" s="157">
        <f t="shared" si="6"/>
        <v>2726352.5080326502</v>
      </c>
      <c r="D102" s="157">
        <f t="shared" si="6"/>
        <v>2711907.5012457608</v>
      </c>
      <c r="E102" s="157">
        <f t="shared" si="5"/>
        <v>2697539.4206992905</v>
      </c>
      <c r="F102" s="157">
        <f t="shared" si="5"/>
        <v>2683247.8546363609</v>
      </c>
      <c r="G102" s="157">
        <f t="shared" si="5"/>
        <v>2669032.3935154532</v>
      </c>
      <c r="H102" s="157">
        <f t="shared" si="5"/>
        <v>2654892.6299977298</v>
      </c>
      <c r="I102" s="157">
        <f t="shared" si="5"/>
        <v>2640828.1589360368</v>
      </c>
      <c r="J102" s="157">
        <f t="shared" si="5"/>
        <v>2626838.5773626287</v>
      </c>
      <c r="K102" s="157">
        <f t="shared" si="5"/>
        <v>2612923.4844772713</v>
      </c>
      <c r="L102" s="157">
        <f t="shared" si="5"/>
        <v>2599082.4816356376</v>
      </c>
    </row>
    <row r="103" spans="1:12" x14ac:dyDescent="0.25">
      <c r="A103" s="158" t="s">
        <v>3914</v>
      </c>
      <c r="B103" s="159">
        <f>349-'اوراق بدون ریسک'!$AD$19</f>
        <v>209</v>
      </c>
      <c r="C103" s="160">
        <f t="shared" si="6"/>
        <v>2706264.3121641371</v>
      </c>
      <c r="D103" s="160">
        <f t="shared" si="6"/>
        <v>2690820.255100301</v>
      </c>
      <c r="E103" s="160">
        <f t="shared" si="5"/>
        <v>2675464.7531673596</v>
      </c>
      <c r="F103" s="160">
        <f t="shared" si="5"/>
        <v>2660197.2961924393</v>
      </c>
      <c r="G103" s="160">
        <f t="shared" si="5"/>
        <v>2645017.3769558757</v>
      </c>
      <c r="H103" s="160">
        <f t="shared" si="5"/>
        <v>2629924.4911732869</v>
      </c>
      <c r="I103" s="160">
        <f t="shared" si="5"/>
        <v>2614918.1374794752</v>
      </c>
      <c r="J103" s="160">
        <f t="shared" si="5"/>
        <v>2599997.8174110055</v>
      </c>
      <c r="K103" s="160">
        <f t="shared" si="5"/>
        <v>2585163.035389204</v>
      </c>
      <c r="L103" s="160">
        <f t="shared" si="5"/>
        <v>2570413.2987035047</v>
      </c>
    </row>
    <row r="104" spans="1:12" x14ac:dyDescent="0.25">
      <c r="A104" s="171" t="s">
        <v>3915</v>
      </c>
      <c r="B104" s="172">
        <f>361-'اوراق بدون ریسک'!$AD$19</f>
        <v>221</v>
      </c>
      <c r="C104" s="173">
        <f t="shared" si="6"/>
        <v>2690300.3772932705</v>
      </c>
      <c r="D104" s="173">
        <f t="shared" si="6"/>
        <v>2674068.5780537892</v>
      </c>
      <c r="E104" s="173">
        <f t="shared" si="5"/>
        <v>2657935.1530544707</v>
      </c>
      <c r="F104" s="173">
        <f t="shared" si="5"/>
        <v>2641899.5034203641</v>
      </c>
      <c r="G104" s="173">
        <f t="shared" si="5"/>
        <v>2625961.033938772</v>
      </c>
      <c r="H104" s="173">
        <f t="shared" si="5"/>
        <v>2610119.1530359737</v>
      </c>
      <c r="I104" s="173">
        <f t="shared" si="5"/>
        <v>2594373.2727558981</v>
      </c>
      <c r="J104" s="173">
        <f t="shared" si="5"/>
        <v>2578722.80873742</v>
      </c>
      <c r="K104" s="173">
        <f t="shared" si="5"/>
        <v>2563167.1801921688</v>
      </c>
      <c r="L104" s="173">
        <f t="shared" si="5"/>
        <v>2547705.8098827037</v>
      </c>
    </row>
    <row r="105" spans="1:12" x14ac:dyDescent="0.25">
      <c r="A105" s="164" t="s">
        <v>3916</v>
      </c>
      <c r="B105" s="94">
        <f>372-'اوراق بدون ریسک'!$AD$19</f>
        <v>232</v>
      </c>
      <c r="C105" s="165">
        <f t="shared" si="6"/>
        <v>2675749.5090845628</v>
      </c>
      <c r="D105" s="165">
        <f t="shared" si="6"/>
        <v>2658804.5035596839</v>
      </c>
      <c r="E105" s="165">
        <f t="shared" si="5"/>
        <v>2641967.2670837715</v>
      </c>
      <c r="F105" s="165">
        <f t="shared" si="5"/>
        <v>2625237.1113303634</v>
      </c>
      <c r="G105" s="165">
        <f t="shared" si="5"/>
        <v>2608613.35238828</v>
      </c>
      <c r="H105" s="165">
        <f t="shared" si="5"/>
        <v>2592095.3107323502</v>
      </c>
      <c r="I105" s="165">
        <f t="shared" si="5"/>
        <v>2575682.3111962397</v>
      </c>
      <c r="J105" s="165">
        <f t="shared" si="5"/>
        <v>2559373.6829438698</v>
      </c>
      <c r="K105" s="165">
        <f t="shared" si="5"/>
        <v>2543168.7594413999</v>
      </c>
      <c r="L105" s="165">
        <f t="shared" si="5"/>
        <v>2527066.878429648</v>
      </c>
    </row>
    <row r="106" spans="1:12" x14ac:dyDescent="0.25">
      <c r="A106" s="158" t="s">
        <v>3917</v>
      </c>
      <c r="B106" s="159">
        <f>391-'اوراق بدون ریسک'!$AD$19</f>
        <v>251</v>
      </c>
      <c r="C106" s="160">
        <f t="shared" si="6"/>
        <v>2650801.3168812762</v>
      </c>
      <c r="D106" s="160">
        <f t="shared" si="6"/>
        <v>2632644.2237630161</v>
      </c>
      <c r="E106" s="160">
        <f t="shared" si="5"/>
        <v>2614611.9926844155</v>
      </c>
      <c r="F106" s="160">
        <f t="shared" si="5"/>
        <v>2596703.761614929</v>
      </c>
      <c r="G106" s="160">
        <f t="shared" si="5"/>
        <v>2578918.6744989655</v>
      </c>
      <c r="H106" s="160">
        <f t="shared" si="5"/>
        <v>2561255.8812134308</v>
      </c>
      <c r="I106" s="160">
        <f t="shared" si="5"/>
        <v>2543714.5375275919</v>
      </c>
      <c r="J106" s="160">
        <f t="shared" si="5"/>
        <v>2526293.8050615476</v>
      </c>
      <c r="K106" s="160">
        <f t="shared" si="5"/>
        <v>2508992.8512453809</v>
      </c>
      <c r="L106" s="160">
        <f t="shared" si="5"/>
        <v>2491810.8492788803</v>
      </c>
    </row>
    <row r="107" spans="1:12" x14ac:dyDescent="0.25">
      <c r="A107" s="164" t="s">
        <v>3918</v>
      </c>
      <c r="B107" s="94">
        <f>407-'اوراق بدون ریسک'!$AD$19</f>
        <v>267</v>
      </c>
      <c r="C107" s="165">
        <f t="shared" si="6"/>
        <v>2629972.821223286</v>
      </c>
      <c r="D107" s="165">
        <f t="shared" si="6"/>
        <v>2610814.2588899932</v>
      </c>
      <c r="E107" s="165">
        <f t="shared" si="6"/>
        <v>2591795.7798195011</v>
      </c>
      <c r="F107" s="165">
        <f t="shared" si="6"/>
        <v>2572916.3559594979</v>
      </c>
      <c r="G107" s="165">
        <f t="shared" si="6"/>
        <v>2554174.9668305162</v>
      </c>
      <c r="H107" s="165">
        <f t="shared" si="6"/>
        <v>2535570.5994690163</v>
      </c>
      <c r="I107" s="165">
        <f t="shared" si="6"/>
        <v>2517102.2483730265</v>
      </c>
      <c r="J107" s="165">
        <f t="shared" si="6"/>
        <v>2498768.9154464211</v>
      </c>
      <c r="K107" s="165">
        <f t="shared" si="6"/>
        <v>2480569.6099440255</v>
      </c>
      <c r="L107" s="165">
        <f t="shared" si="6"/>
        <v>2462503.3484174255</v>
      </c>
    </row>
    <row r="108" spans="1:12" x14ac:dyDescent="0.25">
      <c r="A108" s="155" t="s">
        <v>3919</v>
      </c>
      <c r="B108" s="156">
        <f>573-'اوراق بدون ریسک'!$AD$19</f>
        <v>433</v>
      </c>
      <c r="C108" s="157">
        <f t="shared" si="6"/>
        <v>2423301.0406725435</v>
      </c>
      <c r="D108" s="157">
        <f t="shared" si="6"/>
        <v>2394737.6234920346</v>
      </c>
      <c r="E108" s="157">
        <f t="shared" si="6"/>
        <v>2366511.6512797493</v>
      </c>
      <c r="F108" s="157">
        <f t="shared" si="6"/>
        <v>2338619.1284224312</v>
      </c>
      <c r="G108" s="157">
        <f t="shared" si="6"/>
        <v>2311056.1067258804</v>
      </c>
      <c r="H108" s="157">
        <f t="shared" si="6"/>
        <v>2283818.6848495547</v>
      </c>
      <c r="I108" s="157">
        <f t="shared" si="6"/>
        <v>2256903.0077510537</v>
      </c>
      <c r="J108" s="157">
        <f t="shared" si="6"/>
        <v>2230305.266134622</v>
      </c>
      <c r="K108" s="157">
        <f t="shared" si="6"/>
        <v>2204021.6959068472</v>
      </c>
      <c r="L108" s="157">
        <f t="shared" si="6"/>
        <v>2178048.5776392659</v>
      </c>
    </row>
    <row r="109" spans="1:12" x14ac:dyDescent="0.25">
      <c r="A109" s="164" t="s">
        <v>3920</v>
      </c>
      <c r="B109" s="94">
        <f>579-'اوراق بدون ریسک'!$AD$19</f>
        <v>439</v>
      </c>
      <c r="C109" s="165">
        <f t="shared" si="6"/>
        <v>2416143.0851679109</v>
      </c>
      <c r="D109" s="165">
        <f t="shared" si="6"/>
        <v>2387271.777054267</v>
      </c>
      <c r="E109" s="165">
        <f t="shared" si="6"/>
        <v>2358746.2383726654</v>
      </c>
      <c r="F109" s="165">
        <f t="shared" si="6"/>
        <v>2330562.3188104657</v>
      </c>
      <c r="G109" s="165">
        <f t="shared" si="6"/>
        <v>2302715.9179837317</v>
      </c>
      <c r="H109" s="165">
        <f t="shared" si="6"/>
        <v>2275202.9848338692</v>
      </c>
      <c r="I109" s="165">
        <f t="shared" si="6"/>
        <v>2248019.5170347109</v>
      </c>
      <c r="J109" s="165">
        <f t="shared" si="6"/>
        <v>2221161.5604041605</v>
      </c>
      <c r="K109" s="165">
        <f t="shared" si="6"/>
        <v>2194625.2083235518</v>
      </c>
      <c r="L109" s="165">
        <f t="shared" si="6"/>
        <v>2168406.6011644597</v>
      </c>
    </row>
    <row r="110" spans="1:12" x14ac:dyDescent="0.25">
      <c r="A110" s="158" t="s">
        <v>3921</v>
      </c>
      <c r="B110" s="159">
        <f>753-'اوراق بدون ریسک'!$AD$19</f>
        <v>613</v>
      </c>
      <c r="C110" s="160">
        <f t="shared" si="6"/>
        <v>2217511.0856872811</v>
      </c>
      <c r="D110" s="160">
        <f t="shared" si="6"/>
        <v>2180598.5902675851</v>
      </c>
      <c r="E110" s="160">
        <f t="shared" si="6"/>
        <v>2144301.5226330645</v>
      </c>
      <c r="F110" s="160">
        <f t="shared" si="6"/>
        <v>2108609.605561919</v>
      </c>
      <c r="G110" s="160">
        <f t="shared" si="6"/>
        <v>2073512.7337297811</v>
      </c>
      <c r="H110" s="160">
        <f t="shared" si="6"/>
        <v>2039000.9708282345</v>
      </c>
      <c r="I110" s="160">
        <f t="shared" si="6"/>
        <v>2005064.5467356662</v>
      </c>
      <c r="J110" s="160">
        <f t="shared" si="6"/>
        <v>1971693.8547322813</v>
      </c>
      <c r="K110" s="160">
        <f t="shared" si="6"/>
        <v>1938879.4487626441</v>
      </c>
      <c r="L110" s="160">
        <f t="shared" si="6"/>
        <v>1906612.0407446716</v>
      </c>
    </row>
    <row r="111" spans="1:12" x14ac:dyDescent="0.25">
      <c r="A111" s="171" t="s">
        <v>3922</v>
      </c>
      <c r="B111" s="172">
        <f>757-'اوراق بدون ریسک'!$AD$19</f>
        <v>617</v>
      </c>
      <c r="C111" s="173">
        <f t="shared" si="6"/>
        <v>2213142.2048635073</v>
      </c>
      <c r="D111" s="173">
        <f t="shared" si="6"/>
        <v>2176064.0684312191</v>
      </c>
      <c r="E111" s="173">
        <f t="shared" si="6"/>
        <v>2139608.1147661693</v>
      </c>
      <c r="F111" s="173">
        <f t="shared" si="6"/>
        <v>2103763.8868366703</v>
      </c>
      <c r="G111" s="173">
        <f t="shared" si="6"/>
        <v>2068521.1036421009</v>
      </c>
      <c r="H111" s="173">
        <f t="shared" si="6"/>
        <v>2033869.6572432157</v>
      </c>
      <c r="I111" s="173">
        <f t="shared" si="6"/>
        <v>1999799.6098465938</v>
      </c>
      <c r="J111" s="173">
        <f t="shared" si="6"/>
        <v>1966301.1909350143</v>
      </c>
      <c r="K111" s="173">
        <f t="shared" si="6"/>
        <v>1933364.7944470758</v>
      </c>
      <c r="L111" s="173">
        <f t="shared" si="6"/>
        <v>1900980.9760049798</v>
      </c>
    </row>
    <row r="112" spans="1:12" x14ac:dyDescent="0.25">
      <c r="A112" s="155" t="s">
        <v>3923</v>
      </c>
      <c r="B112" s="156">
        <f>774-'اوراق بدون ریسک'!$AD$19</f>
        <v>634</v>
      </c>
      <c r="C112" s="157">
        <f t="shared" si="6"/>
        <v>2194670.2835175763</v>
      </c>
      <c r="D112" s="157">
        <f t="shared" si="6"/>
        <v>2156897.3114384334</v>
      </c>
      <c r="E112" s="157">
        <f t="shared" si="6"/>
        <v>2119775.4663420026</v>
      </c>
      <c r="F112" s="157">
        <f t="shared" si="6"/>
        <v>2083293.5067917551</v>
      </c>
      <c r="G112" s="157">
        <f t="shared" si="6"/>
        <v>2047440.3857302659</v>
      </c>
      <c r="H112" s="157">
        <f t="shared" si="6"/>
        <v>2012205.2471111913</v>
      </c>
      <c r="I112" s="157">
        <f t="shared" si="6"/>
        <v>1977577.4225937414</v>
      </c>
      <c r="J112" s="157">
        <f t="shared" si="6"/>
        <v>1943546.4282911122</v>
      </c>
      <c r="K112" s="157">
        <f t="shared" si="6"/>
        <v>1910101.9615761084</v>
      </c>
      <c r="L112" s="157">
        <f t="shared" si="6"/>
        <v>1877233.89794272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 x14ac:dyDescent="0.25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 x14ac:dyDescent="0.25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 x14ac:dyDescent="0.25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 x14ac:dyDescent="0.25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 x14ac:dyDescent="0.25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 x14ac:dyDescent="0.25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 x14ac:dyDescent="0.25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 x14ac:dyDescent="0.25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 x14ac:dyDescent="0.25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 x14ac:dyDescent="0.25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 x14ac:dyDescent="0.25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 x14ac:dyDescent="0.25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 x14ac:dyDescent="0.25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 x14ac:dyDescent="0.25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 x14ac:dyDescent="0.25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 x14ac:dyDescent="0.25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 x14ac:dyDescent="0.25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 x14ac:dyDescent="0.25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 x14ac:dyDescent="0.25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 x14ac:dyDescent="0.25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 x14ac:dyDescent="0.25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 x14ac:dyDescent="0.25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 x14ac:dyDescent="0.25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 x14ac:dyDescent="0.25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 x14ac:dyDescent="0.25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 x14ac:dyDescent="0.25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 x14ac:dyDescent="0.25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 x14ac:dyDescent="0.25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 x14ac:dyDescent="0.25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 x14ac:dyDescent="0.25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 x14ac:dyDescent="0.25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 x14ac:dyDescent="0.25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 x14ac:dyDescent="0.25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 x14ac:dyDescent="0.25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 x14ac:dyDescent="0.25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 x14ac:dyDescent="0.25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 x14ac:dyDescent="0.25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 x14ac:dyDescent="0.25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 x14ac:dyDescent="0.25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 x14ac:dyDescent="0.25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 x14ac:dyDescent="0.25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 x14ac:dyDescent="0.25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 x14ac:dyDescent="0.25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 x14ac:dyDescent="0.25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 x14ac:dyDescent="0.25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 x14ac:dyDescent="0.25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 x14ac:dyDescent="0.25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 x14ac:dyDescent="0.25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 x14ac:dyDescent="0.25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 x14ac:dyDescent="0.25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 x14ac:dyDescent="0.25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 x14ac:dyDescent="0.25">
      <c r="A249" s="74" t="s">
        <v>3986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3975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 x14ac:dyDescent="0.25">
      <c r="A251" s="105" t="s">
        <v>3980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3983</v>
      </c>
    </row>
    <row r="252" spans="1:7" x14ac:dyDescent="0.25">
      <c r="A252" s="105" t="s">
        <v>3980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3984</v>
      </c>
    </row>
    <row r="253" spans="1:7" x14ac:dyDescent="0.25">
      <c r="A253" s="105" t="s">
        <v>3980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3984</v>
      </c>
    </row>
    <row r="254" spans="1:7" x14ac:dyDescent="0.25">
      <c r="A254" s="105" t="s">
        <v>3980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3987</v>
      </c>
    </row>
    <row r="255" spans="1:7" x14ac:dyDescent="0.25">
      <c r="A255" s="105" t="s">
        <v>3989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3991</v>
      </c>
    </row>
    <row r="256" spans="1:7" x14ac:dyDescent="0.25">
      <c r="A256" s="105" t="s">
        <v>3989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 x14ac:dyDescent="0.25">
      <c r="A257" s="105" t="s">
        <v>3993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3994</v>
      </c>
    </row>
    <row r="258" spans="1:7" x14ac:dyDescent="0.25">
      <c r="A258" s="105" t="s">
        <v>3993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3995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3985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3774</v>
      </c>
      <c r="I1" t="s">
        <v>3780</v>
      </c>
    </row>
    <row r="2" spans="1:12" x14ac:dyDescent="0.25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 x14ac:dyDescent="0.25">
      <c r="A3">
        <v>2</v>
      </c>
      <c r="B3" t="s">
        <v>3769</v>
      </c>
      <c r="G3" s="129"/>
      <c r="H3" t="s">
        <v>3776</v>
      </c>
      <c r="I3" t="s">
        <v>3782</v>
      </c>
    </row>
    <row r="4" spans="1:12" x14ac:dyDescent="0.25">
      <c r="A4">
        <v>3</v>
      </c>
      <c r="B4" t="s">
        <v>3770</v>
      </c>
      <c r="H4" t="s">
        <v>3777</v>
      </c>
      <c r="L4" s="129"/>
    </row>
    <row r="5" spans="1:12" x14ac:dyDescent="0.25">
      <c r="H5" t="s">
        <v>3779</v>
      </c>
    </row>
    <row r="6" spans="1:12" x14ac:dyDescent="0.25">
      <c r="B6" s="129" t="s">
        <v>3773</v>
      </c>
      <c r="H6" t="s">
        <v>3783</v>
      </c>
    </row>
    <row r="7" spans="1:12" x14ac:dyDescent="0.25">
      <c r="H7" t="s">
        <v>3784</v>
      </c>
    </row>
    <row r="8" spans="1:12" x14ac:dyDescent="0.25">
      <c r="H8" t="s">
        <v>3785</v>
      </c>
    </row>
    <row r="9" spans="1:12" x14ac:dyDescent="0.25">
      <c r="H9" t="s">
        <v>3798</v>
      </c>
    </row>
    <row r="10" spans="1:12" x14ac:dyDescent="0.25">
      <c r="H10" t="s">
        <v>3799</v>
      </c>
    </row>
    <row r="11" spans="1:12" x14ac:dyDescent="0.25">
      <c r="H11" t="s">
        <v>3800</v>
      </c>
    </row>
    <row r="12" spans="1:12" x14ac:dyDescent="0.25">
      <c r="H12" t="s">
        <v>3802</v>
      </c>
    </row>
    <row r="13" spans="1:12" x14ac:dyDescent="0.25">
      <c r="H13" t="s">
        <v>3801</v>
      </c>
    </row>
    <row r="18" spans="1:8" x14ac:dyDescent="0.25">
      <c r="A18" s="105" t="s">
        <v>3786</v>
      </c>
      <c r="B18" s="105"/>
      <c r="C18" s="105"/>
      <c r="D18" s="105"/>
    </row>
    <row r="19" spans="1:8" x14ac:dyDescent="0.25">
      <c r="A19" s="105">
        <v>1</v>
      </c>
      <c r="B19" s="105" t="s">
        <v>3787</v>
      </c>
      <c r="C19" s="105" t="s">
        <v>3789</v>
      </c>
      <c r="D19" s="105"/>
    </row>
    <row r="20" spans="1:8" x14ac:dyDescent="0.25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3796</v>
      </c>
      <c r="H38" s="22"/>
    </row>
    <row r="39" spans="1:8" x14ac:dyDescent="0.25">
      <c r="A39">
        <v>1</v>
      </c>
      <c r="B39" t="s">
        <v>3793</v>
      </c>
    </row>
    <row r="40" spans="1:8" x14ac:dyDescent="0.25">
      <c r="A40">
        <v>2</v>
      </c>
      <c r="B40" t="s">
        <v>3797</v>
      </c>
    </row>
    <row r="41" spans="1:8" x14ac:dyDescent="0.25">
      <c r="A41">
        <v>3</v>
      </c>
      <c r="B41" t="s">
        <v>3794</v>
      </c>
    </row>
    <row r="42" spans="1:8" x14ac:dyDescent="0.25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 x14ac:dyDescent="0.2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 x14ac:dyDescent="0.2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 x14ac:dyDescent="0.2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4005</v>
      </c>
      <c r="D3" t="s">
        <v>4004</v>
      </c>
      <c r="G3" t="s">
        <v>4006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4007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3899</v>
      </c>
      <c r="R8" t="s">
        <v>3954</v>
      </c>
      <c r="S8" t="s">
        <v>4012</v>
      </c>
    </row>
    <row r="9" spans="2:19" x14ac:dyDescent="0.25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abSelected="1" zoomScaleNormal="100" workbookViewId="0">
      <pane ySplit="1" topLeftCell="A172" activePane="bottomLeft" state="frozen"/>
      <selection pane="bottomLeft" activeCell="D189" sqref="D189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613</v>
      </c>
      <c r="F2" s="11">
        <f>IF(B2&gt;0,1,0)</f>
        <v>1</v>
      </c>
      <c r="G2" s="11">
        <f>B2*(E2-F2)</f>
        <v>30600000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609</v>
      </c>
      <c r="F3" s="11">
        <f t="shared" ref="F3:F38" si="1">IF(B3&gt;0,1,0)</f>
        <v>1</v>
      </c>
      <c r="G3" s="11">
        <f t="shared" ref="G3:G23" si="2">B3*(E3-F3)</f>
        <v>1824000000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608</v>
      </c>
      <c r="F4" s="11">
        <f t="shared" si="1"/>
        <v>1</v>
      </c>
      <c r="G4" s="11">
        <f t="shared" si="2"/>
        <v>1821000000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608</v>
      </c>
      <c r="F5" s="11">
        <f t="shared" si="1"/>
        <v>1</v>
      </c>
      <c r="G5" s="11">
        <f t="shared" si="2"/>
        <v>9105000000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607</v>
      </c>
      <c r="F6" s="11">
        <f t="shared" si="1"/>
        <v>1</v>
      </c>
      <c r="G6" s="11">
        <f t="shared" si="2"/>
        <v>1818000000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3972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606</v>
      </c>
      <c r="F7" s="11">
        <f t="shared" si="1"/>
        <v>0</v>
      </c>
      <c r="G7" s="11">
        <f t="shared" si="2"/>
        <v>-1818000000</v>
      </c>
      <c r="K7" t="s">
        <v>289</v>
      </c>
      <c r="L7" s="34">
        <v>410023384051</v>
      </c>
      <c r="M7" s="33" t="s">
        <v>326</v>
      </c>
      <c r="N7" t="s">
        <v>3973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606</v>
      </c>
      <c r="F8" s="11">
        <f t="shared" si="1"/>
        <v>0</v>
      </c>
      <c r="G8" s="11">
        <f t="shared" si="2"/>
        <v>-121200000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606</v>
      </c>
      <c r="F9" s="11">
        <f t="shared" si="1"/>
        <v>1</v>
      </c>
      <c r="G9" s="11">
        <f>B9*(E9-F9)</f>
        <v>1815000000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605</v>
      </c>
      <c r="F10" s="11">
        <f t="shared" si="1"/>
        <v>1</v>
      </c>
      <c r="G10" s="11">
        <f t="shared" si="2"/>
        <v>1812000000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3971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605</v>
      </c>
      <c r="F11" s="11">
        <f t="shared" si="1"/>
        <v>1</v>
      </c>
      <c r="G11" s="11">
        <f t="shared" si="2"/>
        <v>15100000000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602</v>
      </c>
      <c r="F12" s="11">
        <f t="shared" si="1"/>
        <v>1</v>
      </c>
      <c r="G12" s="11">
        <f t="shared" si="2"/>
        <v>599996330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602</v>
      </c>
      <c r="F13" s="11">
        <f t="shared" si="1"/>
        <v>1</v>
      </c>
      <c r="G13" s="11">
        <f t="shared" si="2"/>
        <v>1803000000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602</v>
      </c>
      <c r="F14" s="11">
        <f t="shared" si="1"/>
        <v>1</v>
      </c>
      <c r="G14" s="11">
        <f t="shared" si="2"/>
        <v>715848696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590</v>
      </c>
      <c r="F15" s="11">
        <f t="shared" si="1"/>
        <v>1</v>
      </c>
      <c r="G15" s="11">
        <f t="shared" si="2"/>
        <v>1178000000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578</v>
      </c>
      <c r="F16" s="11">
        <f t="shared" si="1"/>
        <v>1</v>
      </c>
      <c r="G16" s="11">
        <f t="shared" si="2"/>
        <v>1731000000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577</v>
      </c>
      <c r="F17" s="11">
        <f t="shared" si="1"/>
        <v>1</v>
      </c>
      <c r="G17" s="11">
        <f t="shared" si="2"/>
        <v>1728000000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576</v>
      </c>
      <c r="F18" s="11">
        <f t="shared" si="1"/>
        <v>1</v>
      </c>
      <c r="G18" s="11">
        <f t="shared" si="2"/>
        <v>1092500000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561</v>
      </c>
      <c r="F19" s="11">
        <f t="shared" si="1"/>
        <v>1</v>
      </c>
      <c r="G19" s="11">
        <f t="shared" si="2"/>
        <v>450527280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560</v>
      </c>
      <c r="F20" s="11">
        <f t="shared" si="1"/>
        <v>1</v>
      </c>
      <c r="G20" s="11">
        <f t="shared" si="2"/>
        <v>1677000000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554</v>
      </c>
      <c r="F21" s="11">
        <f t="shared" si="1"/>
        <v>1</v>
      </c>
      <c r="G21" s="11">
        <f t="shared" si="2"/>
        <v>276500000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540</v>
      </c>
      <c r="F22" s="11">
        <f t="shared" si="1"/>
        <v>0</v>
      </c>
      <c r="G22" s="11">
        <f t="shared" si="2"/>
        <v>-1620000000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532</v>
      </c>
      <c r="F23" s="11">
        <f t="shared" si="1"/>
        <v>1</v>
      </c>
      <c r="G23" s="11">
        <f t="shared" si="2"/>
        <v>1593000000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532</v>
      </c>
      <c r="F24" s="11">
        <f t="shared" si="1"/>
        <v>1</v>
      </c>
      <c r="G24" s="11">
        <f>B24*(E24-F24)</f>
        <v>334977633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530</v>
      </c>
      <c r="F25" s="11">
        <f t="shared" si="1"/>
        <v>0</v>
      </c>
      <c r="G25" s="11">
        <f t="shared" ref="G25:G30" si="3">B25*(E25-F25)</f>
        <v>-1696477000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528</v>
      </c>
      <c r="F26" s="11">
        <f t="shared" si="1"/>
        <v>0</v>
      </c>
      <c r="G26" s="11">
        <f t="shared" si="3"/>
        <v>-1584475200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526</v>
      </c>
      <c r="F27" s="11">
        <f t="shared" si="1"/>
        <v>1</v>
      </c>
      <c r="G27" s="11">
        <f t="shared" si="3"/>
        <v>525000000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526</v>
      </c>
      <c r="F28" s="11">
        <f t="shared" si="1"/>
        <v>1</v>
      </c>
      <c r="G28" s="11">
        <f t="shared" si="3"/>
        <v>3150000000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526</v>
      </c>
      <c r="F29" s="11">
        <f t="shared" si="1"/>
        <v>1</v>
      </c>
      <c r="G29" s="11">
        <f t="shared" si="3"/>
        <v>3045000000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526</v>
      </c>
      <c r="F30" s="11">
        <f t="shared" si="1"/>
        <v>0</v>
      </c>
      <c r="G30" s="11">
        <f t="shared" si="3"/>
        <v>-2630000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525</v>
      </c>
      <c r="F31" s="11">
        <f t="shared" si="1"/>
        <v>0</v>
      </c>
      <c r="G31" s="11">
        <f>B31*(E31-F31)</f>
        <v>-13650000000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523</v>
      </c>
      <c r="F32" s="11">
        <f t="shared" si="1"/>
        <v>0</v>
      </c>
      <c r="G32" s="11">
        <f>B32*(E32-F32)</f>
        <v>-13702600000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504</v>
      </c>
      <c r="F33" s="11">
        <f t="shared" si="1"/>
        <v>1</v>
      </c>
      <c r="G33" s="11">
        <f>B33*(E33-F33)</f>
        <v>164483515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486</v>
      </c>
      <c r="F34" s="11">
        <f t="shared" si="1"/>
        <v>1</v>
      </c>
      <c r="G34" s="11">
        <f t="shared" ref="G34:G195" si="4">B34*(E34-F34)</f>
        <v>13774000000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486</v>
      </c>
      <c r="F35" s="11">
        <f t="shared" si="1"/>
        <v>1</v>
      </c>
      <c r="G35" s="12">
        <f t="shared" si="4"/>
        <v>5335000000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471</v>
      </c>
      <c r="F36" s="11">
        <f t="shared" si="1"/>
        <v>1</v>
      </c>
      <c r="G36" s="11">
        <f t="shared" si="4"/>
        <v>196789470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471</v>
      </c>
      <c r="F37" s="11">
        <f t="shared" si="1"/>
        <v>0</v>
      </c>
      <c r="G37" s="11">
        <f t="shared" si="4"/>
        <v>-423900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470</v>
      </c>
      <c r="F38" s="11">
        <f t="shared" si="1"/>
        <v>1</v>
      </c>
      <c r="G38" s="12">
        <f t="shared" si="4"/>
        <v>938000000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470</v>
      </c>
      <c r="F39" s="11">
        <f>IF(B39&gt;0,1,0)</f>
        <v>1</v>
      </c>
      <c r="G39" s="11">
        <f t="shared" si="4"/>
        <v>938000000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456</v>
      </c>
      <c r="F40" s="11">
        <f>IF(B40&gt;0,1,0)</f>
        <v>0</v>
      </c>
      <c r="G40" s="11">
        <f t="shared" si="4"/>
        <v>-91200000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456</v>
      </c>
      <c r="F41" s="11">
        <f>IF(B41&gt;0,1,0)</f>
        <v>0</v>
      </c>
      <c r="G41" s="11">
        <f t="shared" si="4"/>
        <v>-282720000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456</v>
      </c>
      <c r="F42" s="11">
        <f t="shared" ref="F42:F195" si="5">IF(B42&gt;0,1,0)</f>
        <v>0</v>
      </c>
      <c r="G42" s="11">
        <f t="shared" si="4"/>
        <v>-54720000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454</v>
      </c>
      <c r="F43" s="11">
        <f t="shared" si="5"/>
        <v>1</v>
      </c>
      <c r="G43" s="11">
        <f t="shared" si="4"/>
        <v>294450000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454</v>
      </c>
      <c r="F44" s="11">
        <f t="shared" si="5"/>
        <v>0</v>
      </c>
      <c r="G44" s="11">
        <f t="shared" si="4"/>
        <v>-2270000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454</v>
      </c>
      <c r="F45" s="11">
        <f t="shared" si="5"/>
        <v>1</v>
      </c>
      <c r="G45" s="11">
        <f t="shared" si="4"/>
        <v>13137000000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450</v>
      </c>
      <c r="F46" s="11">
        <f t="shared" si="5"/>
        <v>0</v>
      </c>
      <c r="G46" s="11">
        <f t="shared" si="4"/>
        <v>-90000000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447</v>
      </c>
      <c r="F47" s="11">
        <f t="shared" si="5"/>
        <v>0</v>
      </c>
      <c r="G47" s="11">
        <f t="shared" si="4"/>
        <v>-89400000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446</v>
      </c>
      <c r="F48" s="11">
        <f t="shared" si="5"/>
        <v>0</v>
      </c>
      <c r="G48" s="11">
        <f t="shared" si="4"/>
        <v>-89200000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441</v>
      </c>
      <c r="F49" s="11">
        <f t="shared" si="5"/>
        <v>1</v>
      </c>
      <c r="G49" s="11">
        <f t="shared" si="4"/>
        <v>1320000000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441</v>
      </c>
      <c r="F50" s="11">
        <f t="shared" si="5"/>
        <v>1</v>
      </c>
      <c r="G50" s="12">
        <f t="shared" si="4"/>
        <v>1320000000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440</v>
      </c>
      <c r="F51" s="11">
        <f t="shared" si="5"/>
        <v>1</v>
      </c>
      <c r="G51" s="11">
        <f t="shared" si="4"/>
        <v>336184883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440</v>
      </c>
      <c r="F52" s="11">
        <f t="shared" si="5"/>
        <v>0</v>
      </c>
      <c r="G52" s="11">
        <f t="shared" si="4"/>
        <v>-88000000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433</v>
      </c>
      <c r="F53" s="11">
        <f t="shared" si="5"/>
        <v>0</v>
      </c>
      <c r="G53" s="11">
        <f t="shared" si="4"/>
        <v>-173416500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424</v>
      </c>
      <c r="F54" s="11">
        <f t="shared" si="5"/>
        <v>0</v>
      </c>
      <c r="G54" s="11">
        <f t="shared" si="4"/>
        <v>-424167904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418</v>
      </c>
      <c r="F55" s="11">
        <f t="shared" si="5"/>
        <v>0</v>
      </c>
      <c r="G55" s="11">
        <f t="shared" si="4"/>
        <v>-16720000000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409</v>
      </c>
      <c r="F56" s="11">
        <f t="shared" si="5"/>
        <v>1</v>
      </c>
      <c r="G56" s="11">
        <f t="shared" si="4"/>
        <v>353186016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382</v>
      </c>
      <c r="F57" s="11">
        <f t="shared" si="5"/>
        <v>0</v>
      </c>
      <c r="G57" s="11">
        <f t="shared" si="4"/>
        <v>-19176400000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381</v>
      </c>
      <c r="F58" s="11">
        <f t="shared" si="5"/>
        <v>0</v>
      </c>
      <c r="G58" s="11">
        <f t="shared" si="4"/>
        <v>-4648390500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378</v>
      </c>
      <c r="F59" s="11">
        <f t="shared" si="5"/>
        <v>1</v>
      </c>
      <c r="G59" s="11">
        <f t="shared" si="4"/>
        <v>201659562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377</v>
      </c>
      <c r="F60" s="11">
        <f t="shared" si="5"/>
        <v>0</v>
      </c>
      <c r="G60" s="11">
        <f t="shared" si="4"/>
        <v>-127426000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375</v>
      </c>
      <c r="F61" s="11">
        <f t="shared" si="5"/>
        <v>0</v>
      </c>
      <c r="G61" s="11">
        <f t="shared" si="4"/>
        <v>-56250000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371</v>
      </c>
      <c r="F62" s="11">
        <f t="shared" si="5"/>
        <v>0</v>
      </c>
      <c r="G62" s="11">
        <f t="shared" si="4"/>
        <v>-37100000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367</v>
      </c>
      <c r="F63" s="11">
        <f t="shared" si="5"/>
        <v>0</v>
      </c>
      <c r="G63" s="11">
        <f t="shared" si="4"/>
        <v>-73400000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367</v>
      </c>
      <c r="F64" s="11">
        <f t="shared" si="5"/>
        <v>0</v>
      </c>
      <c r="G64" s="11">
        <f t="shared" si="4"/>
        <v>-31929000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363</v>
      </c>
      <c r="F65" s="11">
        <f t="shared" si="5"/>
        <v>0</v>
      </c>
      <c r="G65" s="11">
        <f t="shared" si="4"/>
        <v>-9971610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362</v>
      </c>
      <c r="F66" s="11">
        <f t="shared" si="5"/>
        <v>0</v>
      </c>
      <c r="G66" s="11">
        <f t="shared" si="4"/>
        <v>-120908000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357</v>
      </c>
      <c r="F67" s="11">
        <f t="shared" si="5"/>
        <v>0</v>
      </c>
      <c r="G67" s="11">
        <f t="shared" si="4"/>
        <v>-7140000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356</v>
      </c>
      <c r="F68" s="11">
        <f t="shared" si="5"/>
        <v>0</v>
      </c>
      <c r="G68" s="11">
        <f t="shared" si="4"/>
        <v>-106978000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356</v>
      </c>
      <c r="F69" s="11">
        <f t="shared" si="5"/>
        <v>0</v>
      </c>
      <c r="G69" s="11">
        <f t="shared" si="4"/>
        <v>-35600000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351</v>
      </c>
      <c r="F70" s="11">
        <f t="shared" si="5"/>
        <v>0</v>
      </c>
      <c r="G70" s="11">
        <f t="shared" si="4"/>
        <v>-70200000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347</v>
      </c>
      <c r="F71" s="11">
        <f t="shared" si="5"/>
        <v>1</v>
      </c>
      <c r="G71" s="11">
        <f t="shared" si="4"/>
        <v>5324594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347</v>
      </c>
      <c r="F72" s="11">
        <f t="shared" si="5"/>
        <v>1</v>
      </c>
      <c r="G72" s="11">
        <f t="shared" si="4"/>
        <v>1384000000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347</v>
      </c>
      <c r="F73" s="11">
        <f t="shared" si="5"/>
        <v>1</v>
      </c>
      <c r="G73" s="11">
        <f t="shared" si="4"/>
        <v>899600000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347</v>
      </c>
      <c r="F74" s="11">
        <f t="shared" si="5"/>
        <v>1</v>
      </c>
      <c r="G74" s="11">
        <f t="shared" si="4"/>
        <v>1038000000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344</v>
      </c>
      <c r="F75" s="11">
        <f t="shared" si="5"/>
        <v>0</v>
      </c>
      <c r="G75" s="11">
        <f t="shared" si="4"/>
        <v>-68800000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341</v>
      </c>
      <c r="F76" s="11">
        <f t="shared" si="5"/>
        <v>0</v>
      </c>
      <c r="G76" s="11">
        <f t="shared" si="4"/>
        <v>-682238700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341</v>
      </c>
      <c r="F77" s="11">
        <f t="shared" si="5"/>
        <v>0</v>
      </c>
      <c r="G77" s="11">
        <f t="shared" si="4"/>
        <v>-68200000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337</v>
      </c>
      <c r="F78" s="11">
        <f t="shared" si="5"/>
        <v>1</v>
      </c>
      <c r="G78" s="11">
        <f t="shared" si="4"/>
        <v>672000000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329</v>
      </c>
      <c r="F79" s="11">
        <f t="shared" si="5"/>
        <v>0</v>
      </c>
      <c r="G79" s="11">
        <f t="shared" si="4"/>
        <v>-329164500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329</v>
      </c>
      <c r="F80" s="11">
        <f t="shared" si="5"/>
        <v>0</v>
      </c>
      <c r="G80" s="11">
        <f t="shared" si="4"/>
        <v>-46701550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326</v>
      </c>
      <c r="F81" s="11">
        <f t="shared" si="5"/>
        <v>0</v>
      </c>
      <c r="G81" s="11">
        <f t="shared" si="4"/>
        <v>-293563000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316</v>
      </c>
      <c r="F82" s="11">
        <f t="shared" si="5"/>
        <v>1</v>
      </c>
      <c r="G82" s="11">
        <f t="shared" si="4"/>
        <v>25594065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294</v>
      </c>
      <c r="F83" s="11">
        <f t="shared" si="5"/>
        <v>1</v>
      </c>
      <c r="G83" s="11">
        <f t="shared" si="4"/>
        <v>14650000000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293</v>
      </c>
      <c r="F84" s="11">
        <f t="shared" si="5"/>
        <v>1</v>
      </c>
      <c r="G84" s="11">
        <f t="shared" si="4"/>
        <v>8760000000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293</v>
      </c>
      <c r="F85" s="11">
        <f t="shared" si="5"/>
        <v>0</v>
      </c>
      <c r="G85" s="11">
        <f t="shared" si="4"/>
        <v>-21242500000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292</v>
      </c>
      <c r="F86" s="11">
        <f t="shared" si="5"/>
        <v>0</v>
      </c>
      <c r="G86" s="11">
        <f t="shared" si="4"/>
        <v>-82052000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287</v>
      </c>
      <c r="F87" s="11">
        <f t="shared" si="5"/>
        <v>1</v>
      </c>
      <c r="G87" s="11">
        <f t="shared" si="4"/>
        <v>715000000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286</v>
      </c>
      <c r="F88" s="11">
        <f t="shared" si="5"/>
        <v>1</v>
      </c>
      <c r="G88" s="11">
        <f t="shared" si="4"/>
        <v>22326900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281</v>
      </c>
      <c r="F89" s="11">
        <f t="shared" si="5"/>
        <v>1</v>
      </c>
      <c r="G89" s="11">
        <f t="shared" si="4"/>
        <v>4200000000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256</v>
      </c>
      <c r="F90" s="11">
        <f t="shared" si="5"/>
        <v>1</v>
      </c>
      <c r="G90" s="11">
        <f t="shared" si="4"/>
        <v>62435730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227</v>
      </c>
      <c r="F91" s="11">
        <f t="shared" si="5"/>
        <v>1</v>
      </c>
      <c r="G91" s="11">
        <f t="shared" si="4"/>
        <v>61507030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197</v>
      </c>
      <c r="F92" s="11">
        <f t="shared" si="5"/>
        <v>1</v>
      </c>
      <c r="G92" s="11">
        <f t="shared" si="4"/>
        <v>588000000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197</v>
      </c>
      <c r="F93" s="11">
        <f t="shared" si="5"/>
        <v>1</v>
      </c>
      <c r="G93" s="11">
        <f t="shared" si="4"/>
        <v>53779460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196</v>
      </c>
      <c r="F94" s="11">
        <f t="shared" si="5"/>
        <v>1</v>
      </c>
      <c r="G94" s="11">
        <f t="shared" si="4"/>
        <v>1072500000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195</v>
      </c>
      <c r="F95" s="11">
        <f t="shared" si="5"/>
        <v>1</v>
      </c>
      <c r="G95" s="11">
        <f t="shared" si="4"/>
        <v>582000000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194</v>
      </c>
      <c r="F96" s="11">
        <f t="shared" si="5"/>
        <v>1</v>
      </c>
      <c r="G96" s="11">
        <f t="shared" si="4"/>
        <v>579000000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193</v>
      </c>
      <c r="F97" s="11">
        <f t="shared" si="5"/>
        <v>1</v>
      </c>
      <c r="G97" s="11">
        <f t="shared" si="4"/>
        <v>576000000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192</v>
      </c>
      <c r="F98" s="11">
        <f t="shared" si="5"/>
        <v>1</v>
      </c>
      <c r="G98" s="11">
        <f t="shared" si="4"/>
        <v>573000000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191</v>
      </c>
      <c r="F99" s="11">
        <f t="shared" si="5"/>
        <v>1</v>
      </c>
      <c r="G99" s="11">
        <f t="shared" si="4"/>
        <v>570000000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189</v>
      </c>
      <c r="F100" s="11">
        <f t="shared" si="5"/>
        <v>1</v>
      </c>
      <c r="G100" s="11">
        <f t="shared" si="4"/>
        <v>187906000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188</v>
      </c>
      <c r="F101" s="11">
        <f t="shared" si="5"/>
        <v>0</v>
      </c>
      <c r="G101" s="11">
        <f t="shared" si="4"/>
        <v>-373499600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167</v>
      </c>
      <c r="F102" s="11">
        <f t="shared" si="5"/>
        <v>1</v>
      </c>
      <c r="G102" s="11">
        <f t="shared" si="4"/>
        <v>498000000</v>
      </c>
    </row>
    <row r="103" spans="1:7" x14ac:dyDescent="0.25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167</v>
      </c>
      <c r="F103" s="11">
        <f t="shared" si="5"/>
        <v>1</v>
      </c>
      <c r="G103" s="11">
        <f t="shared" si="4"/>
        <v>49053000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4020</v>
      </c>
      <c r="B105" s="38">
        <f>SUM(B2:B103)</f>
        <v>59475793</v>
      </c>
      <c r="C105" s="73" t="s">
        <v>4019</v>
      </c>
      <c r="D105" s="105">
        <v>1</v>
      </c>
      <c r="E105" s="105">
        <f>D105+E106</f>
        <v>153</v>
      </c>
      <c r="F105" s="105">
        <f t="shared" si="5"/>
        <v>1</v>
      </c>
      <c r="G105" s="105">
        <f t="shared" si="4"/>
        <v>9040320536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152</v>
      </c>
      <c r="F106" s="11">
        <f t="shared" si="5"/>
        <v>0</v>
      </c>
      <c r="G106" s="11">
        <f t="shared" si="4"/>
        <v>-1520000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146</v>
      </c>
      <c r="F107" s="11">
        <f t="shared" si="5"/>
        <v>1</v>
      </c>
      <c r="G107" s="11">
        <f t="shared" si="4"/>
        <v>289855000</v>
      </c>
    </row>
    <row r="108" spans="1:7" x14ac:dyDescent="0.25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141</v>
      </c>
      <c r="F108" s="11">
        <f t="shared" si="5"/>
        <v>0</v>
      </c>
      <c r="G108" s="11">
        <f t="shared" si="4"/>
        <v>-8460000000</v>
      </c>
    </row>
    <row r="109" spans="1:7" x14ac:dyDescent="0.25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141</v>
      </c>
      <c r="F109" s="11">
        <f t="shared" si="5"/>
        <v>1</v>
      </c>
      <c r="G109" s="11">
        <f t="shared" si="4"/>
        <v>819000000</v>
      </c>
    </row>
    <row r="110" spans="1:7" x14ac:dyDescent="0.25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140</v>
      </c>
      <c r="F110" s="11">
        <f t="shared" si="5"/>
        <v>1</v>
      </c>
      <c r="G110" s="11">
        <f t="shared" si="4"/>
        <v>417000000</v>
      </c>
    </row>
    <row r="111" spans="1:7" x14ac:dyDescent="0.25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139</v>
      </c>
      <c r="F111" s="11">
        <f t="shared" si="5"/>
        <v>1</v>
      </c>
      <c r="G111" s="11">
        <f t="shared" si="4"/>
        <v>276000000</v>
      </c>
    </row>
    <row r="112" spans="1:7" x14ac:dyDescent="0.25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139</v>
      </c>
      <c r="F112" s="11">
        <f t="shared" si="5"/>
        <v>0</v>
      </c>
      <c r="G112" s="11">
        <f t="shared" si="4"/>
        <v>-695000000</v>
      </c>
    </row>
    <row r="113" spans="1:7" x14ac:dyDescent="0.25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138</v>
      </c>
      <c r="F113" s="11">
        <f t="shared" si="5"/>
        <v>1</v>
      </c>
      <c r="G113" s="11">
        <f t="shared" si="4"/>
        <v>56535516</v>
      </c>
    </row>
    <row r="114" spans="1:7" x14ac:dyDescent="0.25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130</v>
      </c>
      <c r="F114" s="11">
        <f t="shared" si="5"/>
        <v>1</v>
      </c>
      <c r="G114" s="11">
        <f t="shared" si="4"/>
        <v>5418000000</v>
      </c>
    </row>
    <row r="115" spans="1:7" x14ac:dyDescent="0.25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123</v>
      </c>
      <c r="F115" s="11">
        <f t="shared" si="5"/>
        <v>0</v>
      </c>
      <c r="G115" s="11">
        <f t="shared" si="4"/>
        <v>-3075000000</v>
      </c>
    </row>
    <row r="116" spans="1:7" x14ac:dyDescent="0.25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122</v>
      </c>
      <c r="F116" s="11">
        <f t="shared" si="5"/>
        <v>0</v>
      </c>
      <c r="G116" s="11">
        <f t="shared" si="4"/>
        <v>-24400000</v>
      </c>
    </row>
    <row r="117" spans="1:7" x14ac:dyDescent="0.25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120</v>
      </c>
      <c r="F117" s="11">
        <f t="shared" si="5"/>
        <v>0</v>
      </c>
      <c r="G117" s="11">
        <f t="shared" si="4"/>
        <v>-2160000000</v>
      </c>
    </row>
    <row r="118" spans="1:7" x14ac:dyDescent="0.25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119</v>
      </c>
      <c r="F118" s="11">
        <f t="shared" si="5"/>
        <v>0</v>
      </c>
      <c r="G118" s="11">
        <f t="shared" si="4"/>
        <v>-297500000</v>
      </c>
    </row>
    <row r="119" spans="1:7" x14ac:dyDescent="0.25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109</v>
      </c>
      <c r="F119" s="11">
        <f t="shared" si="5"/>
        <v>1</v>
      </c>
      <c r="G119" s="11">
        <f t="shared" si="4"/>
        <v>64260000</v>
      </c>
    </row>
    <row r="120" spans="1:7" x14ac:dyDescent="0.25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107</v>
      </c>
      <c r="F120" s="11">
        <f t="shared" si="5"/>
        <v>1</v>
      </c>
      <c r="G120" s="11">
        <f t="shared" si="4"/>
        <v>14557404</v>
      </c>
    </row>
    <row r="121" spans="1:7" x14ac:dyDescent="0.25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105</v>
      </c>
      <c r="F121" s="11">
        <f t="shared" si="5"/>
        <v>0</v>
      </c>
      <c r="G121" s="11">
        <f t="shared" si="4"/>
        <v>-336094500</v>
      </c>
    </row>
    <row r="122" spans="1:7" x14ac:dyDescent="0.25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104</v>
      </c>
      <c r="F122" s="11">
        <f t="shared" si="5"/>
        <v>1</v>
      </c>
      <c r="G122" s="11">
        <f t="shared" si="4"/>
        <v>1676428000</v>
      </c>
    </row>
    <row r="123" spans="1:7" x14ac:dyDescent="0.25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101</v>
      </c>
      <c r="F123" s="11">
        <f t="shared" si="5"/>
        <v>1</v>
      </c>
      <c r="G123" s="105">
        <f t="shared" si="4"/>
        <v>300000000</v>
      </c>
    </row>
    <row r="124" spans="1:7" x14ac:dyDescent="0.25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101</v>
      </c>
      <c r="F124" s="105">
        <f t="shared" si="5"/>
        <v>1</v>
      </c>
      <c r="G124" s="105">
        <f t="shared" si="4"/>
        <v>202000000</v>
      </c>
    </row>
    <row r="125" spans="1:7" x14ac:dyDescent="0.25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101</v>
      </c>
      <c r="F125" s="105">
        <f t="shared" si="5"/>
        <v>1</v>
      </c>
      <c r="G125" s="105">
        <f t="shared" si="4"/>
        <v>497500000</v>
      </c>
    </row>
    <row r="126" spans="1:7" x14ac:dyDescent="0.25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100</v>
      </c>
      <c r="F126" s="105">
        <f t="shared" si="5"/>
        <v>0</v>
      </c>
      <c r="G126" s="105">
        <f t="shared" si="4"/>
        <v>-1850000000</v>
      </c>
    </row>
    <row r="127" spans="1:7" x14ac:dyDescent="0.25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100</v>
      </c>
      <c r="F127" s="105">
        <f t="shared" si="5"/>
        <v>1</v>
      </c>
      <c r="G127" s="105">
        <f t="shared" si="4"/>
        <v>297000000</v>
      </c>
    </row>
    <row r="128" spans="1:7" x14ac:dyDescent="0.25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100</v>
      </c>
      <c r="F128" s="105">
        <f t="shared" si="5"/>
        <v>0</v>
      </c>
      <c r="G128" s="105">
        <f t="shared" si="4"/>
        <v>-300090000</v>
      </c>
    </row>
    <row r="129" spans="1:10" x14ac:dyDescent="0.25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99</v>
      </c>
      <c r="F129" s="105">
        <f t="shared" si="5"/>
        <v>1</v>
      </c>
      <c r="G129" s="105">
        <f t="shared" si="4"/>
        <v>88200000</v>
      </c>
    </row>
    <row r="130" spans="1:10" x14ac:dyDescent="0.25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99</v>
      </c>
      <c r="F130" s="105">
        <f t="shared" si="5"/>
        <v>0</v>
      </c>
      <c r="G130" s="105">
        <f t="shared" si="4"/>
        <v>-297089100</v>
      </c>
    </row>
    <row r="131" spans="1:10" x14ac:dyDescent="0.25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98</v>
      </c>
      <c r="F131" s="105">
        <f t="shared" si="5"/>
        <v>0</v>
      </c>
      <c r="G131" s="105">
        <f t="shared" si="4"/>
        <v>-294088200</v>
      </c>
    </row>
    <row r="132" spans="1:10" x14ac:dyDescent="0.25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96</v>
      </c>
      <c r="F132" s="105">
        <f t="shared" si="5"/>
        <v>0</v>
      </c>
      <c r="G132" s="105">
        <f t="shared" si="4"/>
        <v>-96048000</v>
      </c>
    </row>
    <row r="133" spans="1:10" x14ac:dyDescent="0.25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96</v>
      </c>
      <c r="F133" s="105">
        <f t="shared" si="5"/>
        <v>1</v>
      </c>
      <c r="G133" s="105">
        <f t="shared" si="4"/>
        <v>9500000</v>
      </c>
    </row>
    <row r="134" spans="1:10" x14ac:dyDescent="0.25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94</v>
      </c>
      <c r="F134" s="105">
        <f t="shared" si="5"/>
        <v>0</v>
      </c>
      <c r="G134" s="105">
        <f t="shared" si="4"/>
        <v>-18800000</v>
      </c>
    </row>
    <row r="135" spans="1:10" x14ac:dyDescent="0.25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93</v>
      </c>
      <c r="F135" s="105">
        <f t="shared" si="5"/>
        <v>0</v>
      </c>
      <c r="G135" s="105">
        <f t="shared" si="4"/>
        <v>-204600000</v>
      </c>
    </row>
    <row r="136" spans="1:10" x14ac:dyDescent="0.25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90</v>
      </c>
      <c r="F136" s="105">
        <f t="shared" si="5"/>
        <v>0</v>
      </c>
      <c r="G136" s="105">
        <f t="shared" si="4"/>
        <v>-81495000</v>
      </c>
    </row>
    <row r="137" spans="1:10" x14ac:dyDescent="0.25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87</v>
      </c>
      <c r="F137" s="105">
        <f t="shared" si="5"/>
        <v>1</v>
      </c>
      <c r="G137" s="105">
        <f t="shared" si="4"/>
        <v>129000000</v>
      </c>
    </row>
    <row r="138" spans="1:10" x14ac:dyDescent="0.25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86</v>
      </c>
      <c r="F138" s="105">
        <f t="shared" si="5"/>
        <v>0</v>
      </c>
      <c r="G138" s="105">
        <f t="shared" si="4"/>
        <v>-86043000</v>
      </c>
    </row>
    <row r="139" spans="1:10" x14ac:dyDescent="0.25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86</v>
      </c>
      <c r="F139" s="105">
        <f t="shared" si="5"/>
        <v>0</v>
      </c>
      <c r="G139" s="105">
        <f t="shared" si="4"/>
        <v>-31390000</v>
      </c>
    </row>
    <row r="140" spans="1:10" x14ac:dyDescent="0.25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84</v>
      </c>
      <c r="F140" s="105">
        <f t="shared" si="5"/>
        <v>1</v>
      </c>
      <c r="G140" s="105">
        <f t="shared" si="4"/>
        <v>1909000000</v>
      </c>
      <c r="J140" t="s">
        <v>25</v>
      </c>
    </row>
    <row r="141" spans="1:10" x14ac:dyDescent="0.25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83</v>
      </c>
      <c r="F141" s="105">
        <f t="shared" si="5"/>
        <v>1</v>
      </c>
      <c r="G141" s="105">
        <f t="shared" si="4"/>
        <v>147600000</v>
      </c>
    </row>
    <row r="142" spans="1:10" x14ac:dyDescent="0.25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81</v>
      </c>
      <c r="F142" s="105">
        <f t="shared" si="5"/>
        <v>1</v>
      </c>
      <c r="G142" s="105">
        <f t="shared" si="4"/>
        <v>16000000</v>
      </c>
    </row>
    <row r="143" spans="1:10" x14ac:dyDescent="0.25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81</v>
      </c>
      <c r="F143" s="105">
        <f t="shared" si="5"/>
        <v>0</v>
      </c>
      <c r="G143" s="105">
        <f t="shared" si="4"/>
        <v>-259272900</v>
      </c>
    </row>
    <row r="144" spans="1:10" x14ac:dyDescent="0.25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80</v>
      </c>
      <c r="F144" s="105">
        <f t="shared" si="5"/>
        <v>0</v>
      </c>
      <c r="G144" s="105">
        <f t="shared" si="4"/>
        <v>-241672000</v>
      </c>
    </row>
    <row r="145" spans="1:10" x14ac:dyDescent="0.25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79</v>
      </c>
      <c r="F145" s="105">
        <f t="shared" si="5"/>
        <v>1</v>
      </c>
      <c r="G145" s="105">
        <f t="shared" si="4"/>
        <v>5657574</v>
      </c>
    </row>
    <row r="146" spans="1:10" x14ac:dyDescent="0.25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76</v>
      </c>
      <c r="F146" s="105">
        <f t="shared" si="5"/>
        <v>0</v>
      </c>
      <c r="G146" s="105">
        <f t="shared" si="4"/>
        <v>-228068400</v>
      </c>
    </row>
    <row r="147" spans="1:10" x14ac:dyDescent="0.25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75</v>
      </c>
      <c r="F147" s="105">
        <f t="shared" si="5"/>
        <v>0</v>
      </c>
      <c r="G147" s="105">
        <f t="shared" si="4"/>
        <v>-225105000</v>
      </c>
    </row>
    <row r="148" spans="1:10" x14ac:dyDescent="0.25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75</v>
      </c>
      <c r="F148" s="105">
        <f t="shared" si="5"/>
        <v>0</v>
      </c>
      <c r="G148" s="105">
        <f t="shared" si="4"/>
        <v>-16268250</v>
      </c>
    </row>
    <row r="149" spans="1:10" x14ac:dyDescent="0.25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74</v>
      </c>
      <c r="F149" s="105">
        <f t="shared" si="5"/>
        <v>0</v>
      </c>
      <c r="G149" s="105">
        <f t="shared" si="4"/>
        <v>-222066600</v>
      </c>
    </row>
    <row r="150" spans="1:10" x14ac:dyDescent="0.25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73</v>
      </c>
      <c r="F150" s="105">
        <f t="shared" si="5"/>
        <v>1</v>
      </c>
      <c r="G150" s="105">
        <f t="shared" si="4"/>
        <v>424800000</v>
      </c>
      <c r="J150" t="s">
        <v>25</v>
      </c>
    </row>
    <row r="151" spans="1:10" x14ac:dyDescent="0.25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60</v>
      </c>
      <c r="F151" s="105">
        <f t="shared" si="5"/>
        <v>1</v>
      </c>
      <c r="G151" s="105">
        <f t="shared" si="4"/>
        <v>1003000000</v>
      </c>
    </row>
    <row r="152" spans="1:10" x14ac:dyDescent="0.25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60</v>
      </c>
      <c r="F152" s="105">
        <f t="shared" si="5"/>
        <v>0</v>
      </c>
      <c r="G152" s="105">
        <f t="shared" si="4"/>
        <v>-60000</v>
      </c>
    </row>
    <row r="153" spans="1:10" x14ac:dyDescent="0.25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59</v>
      </c>
      <c r="F153" s="105">
        <f t="shared" si="5"/>
        <v>1</v>
      </c>
      <c r="G153" s="105">
        <f t="shared" si="4"/>
        <v>174000000</v>
      </c>
    </row>
    <row r="154" spans="1:10" x14ac:dyDescent="0.25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59</v>
      </c>
      <c r="F154" s="105">
        <f t="shared" si="5"/>
        <v>0</v>
      </c>
      <c r="G154" s="105">
        <f t="shared" si="4"/>
        <v>-1062649000</v>
      </c>
    </row>
    <row r="155" spans="1:10" x14ac:dyDescent="0.25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59</v>
      </c>
      <c r="F155" s="105">
        <f t="shared" si="5"/>
        <v>0</v>
      </c>
      <c r="G155" s="105">
        <f t="shared" si="4"/>
        <v>-920400000</v>
      </c>
    </row>
    <row r="156" spans="1:10" x14ac:dyDescent="0.25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59</v>
      </c>
      <c r="F156" s="105">
        <f t="shared" si="5"/>
        <v>0</v>
      </c>
      <c r="G156" s="105">
        <f t="shared" si="4"/>
        <v>-82629500</v>
      </c>
    </row>
    <row r="157" spans="1:10" x14ac:dyDescent="0.25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59</v>
      </c>
      <c r="F157" s="105">
        <f t="shared" si="5"/>
        <v>0</v>
      </c>
      <c r="G157" s="105">
        <f t="shared" si="4"/>
        <v>-295000</v>
      </c>
    </row>
    <row r="158" spans="1:10" x14ac:dyDescent="0.25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54</v>
      </c>
      <c r="F158" s="105">
        <f t="shared" si="5"/>
        <v>1</v>
      </c>
      <c r="G158" s="105">
        <f t="shared" si="4"/>
        <v>159000000</v>
      </c>
    </row>
    <row r="159" spans="1:10" x14ac:dyDescent="0.25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53</v>
      </c>
      <c r="F159" s="105">
        <f t="shared" si="5"/>
        <v>1</v>
      </c>
      <c r="G159" s="105">
        <f t="shared" si="4"/>
        <v>52000000</v>
      </c>
    </row>
    <row r="160" spans="1:10" x14ac:dyDescent="0.25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52</v>
      </c>
      <c r="F160" s="105">
        <f t="shared" si="5"/>
        <v>0</v>
      </c>
      <c r="G160" s="105">
        <f t="shared" si="4"/>
        <v>-234000000</v>
      </c>
    </row>
    <row r="161" spans="1:7" x14ac:dyDescent="0.25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52</v>
      </c>
      <c r="F161" s="105">
        <f t="shared" si="5"/>
        <v>1</v>
      </c>
      <c r="G161" s="105">
        <f t="shared" si="4"/>
        <v>153000000</v>
      </c>
    </row>
    <row r="162" spans="1:7" x14ac:dyDescent="0.25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52</v>
      </c>
      <c r="F162" s="105">
        <f t="shared" si="5"/>
        <v>0</v>
      </c>
      <c r="G162" s="105">
        <f t="shared" si="4"/>
        <v>-156000000</v>
      </c>
    </row>
    <row r="163" spans="1:7" x14ac:dyDescent="0.25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51</v>
      </c>
      <c r="F163" s="105">
        <f t="shared" si="5"/>
        <v>1</v>
      </c>
      <c r="G163" s="105">
        <f t="shared" si="4"/>
        <v>4658250</v>
      </c>
    </row>
    <row r="164" spans="1:7" x14ac:dyDescent="0.25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45</v>
      </c>
      <c r="F164" s="105">
        <f t="shared" si="5"/>
        <v>1</v>
      </c>
      <c r="G164" s="105">
        <f t="shared" si="4"/>
        <v>51040000</v>
      </c>
    </row>
    <row r="165" spans="1:7" x14ac:dyDescent="0.25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44</v>
      </c>
      <c r="F165" s="105">
        <f t="shared" si="5"/>
        <v>0</v>
      </c>
      <c r="G165" s="105">
        <f t="shared" si="4"/>
        <v>-23159400</v>
      </c>
    </row>
    <row r="166" spans="1:7" x14ac:dyDescent="0.25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41</v>
      </c>
      <c r="F166" s="105">
        <f t="shared" si="5"/>
        <v>0</v>
      </c>
      <c r="G166" s="105">
        <f t="shared" si="4"/>
        <v>-8200000</v>
      </c>
    </row>
    <row r="167" spans="1:7" x14ac:dyDescent="0.25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39</v>
      </c>
      <c r="F167" s="105">
        <f t="shared" si="5"/>
        <v>1</v>
      </c>
      <c r="G167" s="105">
        <f t="shared" si="4"/>
        <v>29830000</v>
      </c>
    </row>
    <row r="168" spans="1:7" x14ac:dyDescent="0.25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39</v>
      </c>
      <c r="F168" s="105">
        <f t="shared" si="5"/>
        <v>0</v>
      </c>
      <c r="G168" s="105">
        <f t="shared" si="4"/>
        <v>-7800000</v>
      </c>
    </row>
    <row r="169" spans="1:7" x14ac:dyDescent="0.25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38</v>
      </c>
      <c r="F169" s="105">
        <f t="shared" si="5"/>
        <v>0</v>
      </c>
      <c r="G169" s="105">
        <f t="shared" si="4"/>
        <v>-17100000</v>
      </c>
    </row>
    <row r="170" spans="1:7" x14ac:dyDescent="0.25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38</v>
      </c>
      <c r="F170" s="105">
        <f t="shared" si="5"/>
        <v>1</v>
      </c>
      <c r="G170" s="105">
        <f t="shared" si="4"/>
        <v>111000000</v>
      </c>
    </row>
    <row r="171" spans="1:7" x14ac:dyDescent="0.25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38</v>
      </c>
      <c r="F171" s="105">
        <f t="shared" si="5"/>
        <v>0</v>
      </c>
      <c r="G171" s="105">
        <f t="shared" si="4"/>
        <v>-1330000</v>
      </c>
    </row>
    <row r="172" spans="1:7" x14ac:dyDescent="0.25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37</v>
      </c>
      <c r="F172" s="105">
        <f t="shared" si="5"/>
        <v>1</v>
      </c>
      <c r="G172" s="105">
        <f t="shared" si="4"/>
        <v>90000000</v>
      </c>
    </row>
    <row r="173" spans="1:7" x14ac:dyDescent="0.25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36</v>
      </c>
      <c r="F173" s="105">
        <f t="shared" si="5"/>
        <v>0</v>
      </c>
      <c r="G173" s="105">
        <f t="shared" si="4"/>
        <v>-4703040</v>
      </c>
    </row>
    <row r="174" spans="1:7" x14ac:dyDescent="0.25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31</v>
      </c>
      <c r="F174" s="105">
        <f t="shared" si="5"/>
        <v>0</v>
      </c>
      <c r="G174" s="105">
        <f t="shared" si="4"/>
        <v>-148800000</v>
      </c>
    </row>
    <row r="175" spans="1:7" x14ac:dyDescent="0.25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31</v>
      </c>
      <c r="F175" s="105">
        <f t="shared" si="5"/>
        <v>0</v>
      </c>
      <c r="G175" s="105">
        <f t="shared" si="4"/>
        <v>-9920000</v>
      </c>
    </row>
    <row r="176" spans="1:7" x14ac:dyDescent="0.25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31</v>
      </c>
      <c r="F176" s="105">
        <f t="shared" si="5"/>
        <v>0</v>
      </c>
      <c r="G176" s="105">
        <f t="shared" si="4"/>
        <v>-15296547</v>
      </c>
    </row>
    <row r="177" spans="1:7" x14ac:dyDescent="0.25">
      <c r="A177" s="105" t="s">
        <v>4002</v>
      </c>
      <c r="B177" s="38">
        <v>-80000</v>
      </c>
      <c r="C177" s="73" t="s">
        <v>761</v>
      </c>
      <c r="D177" s="105">
        <v>0</v>
      </c>
      <c r="E177" s="105">
        <f t="shared" si="8"/>
        <v>21</v>
      </c>
      <c r="F177" s="105">
        <f t="shared" si="5"/>
        <v>0</v>
      </c>
      <c r="G177" s="105">
        <f t="shared" si="4"/>
        <v>-1680000</v>
      </c>
    </row>
    <row r="178" spans="1:7" x14ac:dyDescent="0.25">
      <c r="A178" s="105" t="s">
        <v>4002</v>
      </c>
      <c r="B178" s="38">
        <v>-100000</v>
      </c>
      <c r="C178" s="73" t="s">
        <v>4003</v>
      </c>
      <c r="D178" s="105">
        <v>1</v>
      </c>
      <c r="E178" s="105">
        <f t="shared" si="8"/>
        <v>21</v>
      </c>
      <c r="F178" s="105">
        <f t="shared" si="5"/>
        <v>0</v>
      </c>
      <c r="G178" s="105">
        <f t="shared" si="4"/>
        <v>-2100000</v>
      </c>
    </row>
    <row r="179" spans="1:7" x14ac:dyDescent="0.25">
      <c r="A179" s="105" t="s">
        <v>4013</v>
      </c>
      <c r="B179" s="38">
        <v>14371</v>
      </c>
      <c r="C179" s="73" t="s">
        <v>669</v>
      </c>
      <c r="D179" s="105">
        <v>2</v>
      </c>
      <c r="E179" s="105">
        <f t="shared" si="8"/>
        <v>20</v>
      </c>
      <c r="F179" s="105">
        <f t="shared" si="5"/>
        <v>1</v>
      </c>
      <c r="G179" s="105">
        <f t="shared" si="4"/>
        <v>273049</v>
      </c>
    </row>
    <row r="180" spans="1:7" x14ac:dyDescent="0.25">
      <c r="A180" s="105" t="s">
        <v>4017</v>
      </c>
      <c r="B180" s="38">
        <v>-39030</v>
      </c>
      <c r="C180" s="73" t="s">
        <v>4018</v>
      </c>
      <c r="D180" s="105">
        <v>2</v>
      </c>
      <c r="E180" s="105">
        <f t="shared" si="8"/>
        <v>18</v>
      </c>
      <c r="F180" s="105">
        <f t="shared" si="5"/>
        <v>0</v>
      </c>
      <c r="G180" s="105">
        <f t="shared" si="4"/>
        <v>-702540</v>
      </c>
    </row>
    <row r="181" spans="1:7" x14ac:dyDescent="0.25">
      <c r="A181" s="105" t="s">
        <v>4023</v>
      </c>
      <c r="B181" s="38">
        <v>-32000</v>
      </c>
      <c r="C181" s="73" t="s">
        <v>4024</v>
      </c>
      <c r="D181" s="105">
        <v>2</v>
      </c>
      <c r="E181" s="105">
        <f t="shared" ref="E181:E195" si="9">D181+E182</f>
        <v>16</v>
      </c>
      <c r="F181" s="105">
        <f t="shared" si="5"/>
        <v>0</v>
      </c>
      <c r="G181" s="105">
        <f t="shared" si="4"/>
        <v>-512000</v>
      </c>
    </row>
    <row r="182" spans="1:7" x14ac:dyDescent="0.25">
      <c r="A182" s="105" t="s">
        <v>4027</v>
      </c>
      <c r="B182" s="38">
        <v>-100000</v>
      </c>
      <c r="C182" s="73" t="s">
        <v>158</v>
      </c>
      <c r="D182" s="105">
        <v>1</v>
      </c>
      <c r="E182" s="105">
        <f t="shared" si="9"/>
        <v>14</v>
      </c>
      <c r="F182" s="105">
        <f t="shared" si="5"/>
        <v>0</v>
      </c>
      <c r="G182" s="105">
        <f t="shared" si="4"/>
        <v>-1400000</v>
      </c>
    </row>
    <row r="183" spans="1:7" x14ac:dyDescent="0.25">
      <c r="A183" s="105" t="s">
        <v>4029</v>
      </c>
      <c r="B183" s="38">
        <v>-20000</v>
      </c>
      <c r="C183" s="73" t="s">
        <v>4030</v>
      </c>
      <c r="D183" s="105">
        <v>1</v>
      </c>
      <c r="E183" s="105">
        <f t="shared" si="9"/>
        <v>13</v>
      </c>
      <c r="F183" s="105">
        <f t="shared" si="5"/>
        <v>0</v>
      </c>
      <c r="G183" s="105">
        <f t="shared" si="4"/>
        <v>-260000</v>
      </c>
    </row>
    <row r="184" spans="1:7" x14ac:dyDescent="0.25">
      <c r="A184" s="105" t="s">
        <v>999</v>
      </c>
      <c r="B184" s="38">
        <v>-8185</v>
      </c>
      <c r="C184" s="73" t="s">
        <v>4033</v>
      </c>
      <c r="D184" s="105">
        <v>2</v>
      </c>
      <c r="E184" s="105">
        <f t="shared" si="9"/>
        <v>12</v>
      </c>
      <c r="F184" s="105">
        <f t="shared" si="5"/>
        <v>0</v>
      </c>
      <c r="G184" s="105">
        <f t="shared" si="4"/>
        <v>-98220</v>
      </c>
    </row>
    <row r="185" spans="1:7" x14ac:dyDescent="0.25">
      <c r="A185" s="105" t="s">
        <v>4038</v>
      </c>
      <c r="B185" s="38">
        <v>-60100</v>
      </c>
      <c r="C185" s="73" t="s">
        <v>4039</v>
      </c>
      <c r="D185" s="105">
        <v>0</v>
      </c>
      <c r="E185" s="105">
        <f t="shared" si="9"/>
        <v>10</v>
      </c>
      <c r="F185" s="105">
        <f t="shared" si="5"/>
        <v>0</v>
      </c>
      <c r="G185" s="105">
        <f t="shared" si="4"/>
        <v>-601000</v>
      </c>
    </row>
    <row r="186" spans="1:7" x14ac:dyDescent="0.25">
      <c r="A186" s="105" t="s">
        <v>4038</v>
      </c>
      <c r="B186" s="38">
        <v>-32300</v>
      </c>
      <c r="C186" s="73" t="s">
        <v>655</v>
      </c>
      <c r="D186" s="105">
        <v>4</v>
      </c>
      <c r="E186" s="105">
        <f t="shared" si="9"/>
        <v>10</v>
      </c>
      <c r="F186" s="105">
        <f t="shared" si="5"/>
        <v>0</v>
      </c>
      <c r="G186" s="105">
        <f t="shared" si="4"/>
        <v>-323000</v>
      </c>
    </row>
    <row r="187" spans="1:7" x14ac:dyDescent="0.25">
      <c r="A187" s="105" t="s">
        <v>4067</v>
      </c>
      <c r="B187" s="38">
        <v>-32750</v>
      </c>
      <c r="C187" s="73" t="s">
        <v>655</v>
      </c>
      <c r="D187" s="105">
        <v>5</v>
      </c>
      <c r="E187" s="105">
        <f t="shared" si="9"/>
        <v>6</v>
      </c>
      <c r="F187" s="105">
        <f t="shared" si="5"/>
        <v>0</v>
      </c>
      <c r="G187" s="105">
        <f t="shared" si="4"/>
        <v>-196500</v>
      </c>
    </row>
    <row r="188" spans="1:7" x14ac:dyDescent="0.25">
      <c r="A188" s="105" t="s">
        <v>4091</v>
      </c>
      <c r="B188" s="38">
        <v>-16000</v>
      </c>
      <c r="C188" s="73" t="s">
        <v>4092</v>
      </c>
      <c r="D188" s="105">
        <v>1</v>
      </c>
      <c r="E188" s="105">
        <f t="shared" si="9"/>
        <v>1</v>
      </c>
      <c r="F188" s="105">
        <f t="shared" si="5"/>
        <v>0</v>
      </c>
      <c r="G188" s="105">
        <f t="shared" si="4"/>
        <v>-16000</v>
      </c>
    </row>
    <row r="189" spans="1:7" x14ac:dyDescent="0.25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 x14ac:dyDescent="0.25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45562</v>
      </c>
      <c r="C196" s="11"/>
      <c r="D196" s="11"/>
      <c r="E196" s="11"/>
      <c r="F196" s="11"/>
      <c r="G196" s="29">
        <f>SUM(G105:G195)</f>
        <v>1724172632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11269102.16993464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opLeftCell="F1" zoomScaleNormal="100" workbookViewId="0">
      <selection activeCell="P41" sqref="P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45562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-7770806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4014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106967279</v>
      </c>
      <c r="G19" s="29">
        <f t="shared" si="0"/>
        <v>-1726190.4177699983</v>
      </c>
      <c r="H19" s="11"/>
      <c r="K19" s="2" t="s">
        <v>85</v>
      </c>
      <c r="L19" s="43">
        <f>-مرداد97!D64</f>
        <v>12780840</v>
      </c>
      <c r="M19" s="2" t="s">
        <v>4011</v>
      </c>
      <c r="N19" s="3">
        <f>1608*P28</f>
        <v>5613528</v>
      </c>
      <c r="O19" s="188" t="s">
        <v>4079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-12780840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4016</v>
      </c>
      <c r="N24" s="3">
        <v>3850000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795709</v>
      </c>
      <c r="O27" s="105" t="s">
        <v>941</v>
      </c>
      <c r="P27" s="105" t="s">
        <v>3978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25600</v>
      </c>
      <c r="M28" s="118" t="s">
        <v>4035</v>
      </c>
      <c r="N28" s="119">
        <f>O28*P28</f>
        <v>77493218</v>
      </c>
      <c r="O28" s="105">
        <v>22198</v>
      </c>
      <c r="P28" s="105">
        <v>3491</v>
      </c>
      <c r="Q28" s="38">
        <v>2458039</v>
      </c>
      <c r="R28" s="118" t="s">
        <v>3961</v>
      </c>
      <c r="S28" s="118">
        <v>26</v>
      </c>
      <c r="T28" s="73" t="s">
        <v>4062</v>
      </c>
      <c r="U28" s="119">
        <f>Q28*0.02*S28/31</f>
        <v>41231.621935483869</v>
      </c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7637</v>
      </c>
      <c r="M29" s="32"/>
      <c r="N29" s="119"/>
      <c r="O29" s="105"/>
      <c r="P29" s="105"/>
      <c r="Q29" s="38">
        <v>74302282</v>
      </c>
      <c r="R29" s="118" t="s">
        <v>4078</v>
      </c>
      <c r="S29" s="118">
        <f>S28-26</f>
        <v>0</v>
      </c>
      <c r="T29" s="118" t="s">
        <v>4080</v>
      </c>
      <c r="U29" s="119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4078</v>
      </c>
      <c r="S30" s="118">
        <f>S29</f>
        <v>0</v>
      </c>
      <c r="T30" s="118" t="s">
        <v>4081</v>
      </c>
      <c r="U30" s="119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3997</v>
      </c>
      <c r="L31" s="123">
        <v>-1600000</v>
      </c>
      <c r="M31" s="56"/>
      <c r="N31" s="119" t="s">
        <v>25</v>
      </c>
      <c r="O31" s="182"/>
      <c r="P31" s="69"/>
      <c r="Q31" s="38"/>
      <c r="R31" s="118"/>
      <c r="S31" s="118"/>
      <c r="T31" s="118"/>
      <c r="U31" s="119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 t="s">
        <v>4082</v>
      </c>
      <c r="L32" s="123">
        <v>-800000</v>
      </c>
      <c r="M32" s="105"/>
      <c r="N32" s="105"/>
      <c r="P32" s="105"/>
      <c r="Q32" s="31"/>
      <c r="R32" s="32"/>
      <c r="S32" s="32"/>
      <c r="T32" s="32"/>
      <c r="U32" s="119"/>
    </row>
    <row r="33" spans="1:21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4083</v>
      </c>
      <c r="L33" s="123">
        <v>-300000</v>
      </c>
      <c r="M33" s="118"/>
      <c r="N33" s="119"/>
      <c r="O33" s="187"/>
      <c r="P33" s="105"/>
      <c r="Q33" s="118"/>
      <c r="R33" s="118"/>
      <c r="S33" s="118"/>
      <c r="T33" s="118"/>
    </row>
    <row r="34" spans="1:21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4089</v>
      </c>
      <c r="N34" s="123">
        <f>-840*P28</f>
        <v>-2932440</v>
      </c>
      <c r="O34" s="105"/>
      <c r="P34" s="105"/>
      <c r="Q34" s="118"/>
      <c r="R34" s="118"/>
      <c r="S34" s="118"/>
      <c r="T34" s="118"/>
    </row>
    <row r="35" spans="1:21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 t="s">
        <v>4086</v>
      </c>
      <c r="N35" s="119">
        <v>450775</v>
      </c>
      <c r="O35" s="105"/>
      <c r="P35" s="105"/>
      <c r="Q35" s="119">
        <f>SUM(N28:N33)-SUM(Q28:Q32)</f>
        <v>-365831</v>
      </c>
      <c r="R35" s="118"/>
      <c r="S35" s="118"/>
      <c r="T35" s="118"/>
    </row>
    <row r="36" spans="1:21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 t="s">
        <v>4008</v>
      </c>
      <c r="N36" s="179">
        <v>3865000</v>
      </c>
    </row>
    <row r="37" spans="1:21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106967279</v>
      </c>
      <c r="M37" s="2"/>
      <c r="N37" s="3">
        <f>SUM(N16:N35)</f>
        <v>176964706</v>
      </c>
    </row>
    <row r="38" spans="1:21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-6225244</v>
      </c>
      <c r="O38" t="s">
        <v>25</v>
      </c>
      <c r="Q38" t="s">
        <v>25</v>
      </c>
    </row>
    <row r="39" spans="1:21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163967279</v>
      </c>
      <c r="M39" s="3"/>
      <c r="N39" s="2"/>
      <c r="R39" t="s">
        <v>25</v>
      </c>
      <c r="T39" t="s">
        <v>25</v>
      </c>
      <c r="U39" t="s">
        <v>4040</v>
      </c>
    </row>
    <row r="40" spans="1:21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Q40" t="s">
        <v>25</v>
      </c>
      <c r="R40" t="s">
        <v>25</v>
      </c>
      <c r="U40" t="s">
        <v>4041</v>
      </c>
    </row>
    <row r="41" spans="1:21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4042</v>
      </c>
    </row>
    <row r="42" spans="1:21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4043</v>
      </c>
    </row>
    <row r="43" spans="1:21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4044</v>
      </c>
    </row>
    <row r="44" spans="1:21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  <c r="U44" t="s">
        <v>4045</v>
      </c>
    </row>
    <row r="45" spans="1:21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  <c r="U45" s="186" t="s">
        <v>4046</v>
      </c>
    </row>
    <row r="46" spans="1:21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9"/>
      <c r="N46" s="9"/>
      <c r="Q46" s="14">
        <v>125000</v>
      </c>
      <c r="R46" s="118" t="s">
        <v>1167</v>
      </c>
      <c r="U46" t="s">
        <v>4047</v>
      </c>
    </row>
    <row r="47" spans="1:21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9"/>
      <c r="N47" s="9"/>
      <c r="Q47" s="14">
        <v>-6000000</v>
      </c>
      <c r="R47" s="118" t="s">
        <v>1168</v>
      </c>
      <c r="U47" t="s">
        <v>4048</v>
      </c>
    </row>
    <row r="48" spans="1:21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4008</v>
      </c>
      <c r="N48" s="9">
        <v>3.8650000000000002</v>
      </c>
      <c r="P48" t="s">
        <v>4000</v>
      </c>
      <c r="Q48" s="14">
        <f>مرداد97!C24</f>
        <v>7835443</v>
      </c>
      <c r="R48" s="118" t="s">
        <v>1169</v>
      </c>
      <c r="U48" t="s">
        <v>4049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  <c r="U49" t="s">
        <v>4050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4000</v>
      </c>
      <c r="Q50" s="14">
        <v>2000000</v>
      </c>
      <c r="R50" s="56" t="s">
        <v>1170</v>
      </c>
      <c r="U50" t="s">
        <v>4085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4.8650000000000002</v>
      </c>
      <c r="Q52" s="123">
        <v>2000000</v>
      </c>
      <c r="R52" s="56" t="s">
        <v>1171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4001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1282</v>
      </c>
      <c r="P68" t="s">
        <v>180</v>
      </c>
      <c r="Q68" t="s">
        <v>952</v>
      </c>
      <c r="R68" t="s">
        <v>4071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4069</v>
      </c>
      <c r="O69">
        <v>3452.8</v>
      </c>
      <c r="P69" t="s">
        <v>4067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4070</v>
      </c>
      <c r="O70">
        <v>185</v>
      </c>
      <c r="P70" s="121" t="s">
        <v>4067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4070</v>
      </c>
      <c r="O71">
        <v>193.8</v>
      </c>
      <c r="P71" s="134" t="s">
        <v>4065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4064</v>
      </c>
      <c r="O72" s="121">
        <v>603.79999999999995</v>
      </c>
      <c r="P72" s="134" t="s">
        <v>4065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4064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4069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4074</v>
      </c>
      <c r="O77">
        <v>5.8109999999999999</v>
      </c>
      <c r="P77">
        <f>O77/1.0152</f>
        <v>5.7239952718676115</v>
      </c>
      <c r="Q77" s="22" t="s">
        <v>4075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4072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4073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 x14ac:dyDescent="0.25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 x14ac:dyDescent="0.25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 x14ac:dyDescent="0.25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 x14ac:dyDescent="0.25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 x14ac:dyDescent="0.25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 x14ac:dyDescent="0.25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 x14ac:dyDescent="0.25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 x14ac:dyDescent="0.25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 x14ac:dyDescent="0.25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 x14ac:dyDescent="0.25">
      <c r="A22" s="105" t="s">
        <v>3965</v>
      </c>
      <c r="B22" s="119">
        <v>-85000</v>
      </c>
      <c r="C22" s="105" t="s">
        <v>3976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 x14ac:dyDescent="0.25">
      <c r="A23" s="69" t="s">
        <v>3943</v>
      </c>
      <c r="B23" s="119">
        <v>-180000</v>
      </c>
      <c r="C23" s="105" t="s">
        <v>3976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 x14ac:dyDescent="0.25">
      <c r="A24" s="69" t="s">
        <v>3943</v>
      </c>
      <c r="B24" s="119">
        <v>-69000</v>
      </c>
      <c r="C24" s="105" t="s">
        <v>3976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 x14ac:dyDescent="0.25">
      <c r="A25" s="69" t="s">
        <v>3961</v>
      </c>
      <c r="B25" s="119">
        <v>-8600</v>
      </c>
      <c r="C25" s="105" t="s">
        <v>3976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 x14ac:dyDescent="0.25">
      <c r="A26" s="105" t="s">
        <v>3961</v>
      </c>
      <c r="B26" s="119">
        <v>-40000</v>
      </c>
      <c r="C26" s="105" t="s">
        <v>3976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 x14ac:dyDescent="0.25">
      <c r="A27" s="105" t="s">
        <v>3961</v>
      </c>
      <c r="B27" s="119">
        <v>-92500</v>
      </c>
      <c r="C27" s="105" t="s">
        <v>3976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 x14ac:dyDescent="0.25">
      <c r="A28" s="105" t="s">
        <v>3961</v>
      </c>
      <c r="B28" s="119">
        <v>-47000</v>
      </c>
      <c r="C28" s="105" t="s">
        <v>3976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 x14ac:dyDescent="0.25">
      <c r="A29" s="105" t="s">
        <v>3966</v>
      </c>
      <c r="B29" s="119">
        <v>-77500</v>
      </c>
      <c r="C29" s="105" t="s">
        <v>3976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 x14ac:dyDescent="0.25">
      <c r="A30" s="105" t="s">
        <v>3966</v>
      </c>
      <c r="B30" s="119">
        <v>-57000</v>
      </c>
      <c r="C30" s="105" t="s">
        <v>3976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 x14ac:dyDescent="0.25">
      <c r="A31" s="105" t="s">
        <v>3966</v>
      </c>
      <c r="B31" s="119">
        <v>-45000</v>
      </c>
      <c r="C31" s="105" t="s">
        <v>3976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 x14ac:dyDescent="0.25">
      <c r="A32" s="105" t="s">
        <v>3966</v>
      </c>
      <c r="B32" s="119">
        <v>-30000</v>
      </c>
      <c r="C32" s="105" t="s">
        <v>3976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 x14ac:dyDescent="0.25">
      <c r="A33" s="105" t="s">
        <v>3975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 x14ac:dyDescent="0.25">
      <c r="A34" s="105"/>
      <c r="B34" s="119"/>
      <c r="C34" s="105"/>
      <c r="D34" s="105"/>
      <c r="E34" s="105"/>
      <c r="F34" s="105"/>
      <c r="G34" s="105"/>
    </row>
    <row r="35" spans="1:7" x14ac:dyDescent="0.25">
      <c r="A35" s="105"/>
      <c r="B35" s="119"/>
      <c r="C35" s="105"/>
      <c r="D35" s="105"/>
      <c r="E35" s="105" t="s">
        <v>25</v>
      </c>
      <c r="F35" s="105"/>
      <c r="G35" s="105"/>
    </row>
    <row r="36" spans="1:7" x14ac:dyDescent="0.25">
      <c r="A36" s="105"/>
      <c r="B36" s="119"/>
      <c r="C36" s="105"/>
      <c r="D36" s="105"/>
      <c r="E36" s="105"/>
      <c r="F36" s="105"/>
      <c r="G36" s="105"/>
    </row>
    <row r="37" spans="1:7" x14ac:dyDescent="0.25">
      <c r="A37" s="105"/>
      <c r="B37" s="105"/>
      <c r="C37" s="105"/>
      <c r="D37" s="105"/>
      <c r="E37" s="105"/>
      <c r="F37" s="105"/>
      <c r="G37" s="105"/>
    </row>
    <row r="38" spans="1:7" x14ac:dyDescent="0.25">
      <c r="A38" s="105"/>
      <c r="B38" s="105"/>
      <c r="C38" s="105"/>
      <c r="D38" s="105"/>
      <c r="E38" s="105"/>
      <c r="F38" s="105"/>
      <c r="G38" s="105"/>
    </row>
    <row r="39" spans="1:7" x14ac:dyDescent="0.25">
      <c r="A39" s="105"/>
      <c r="B39" s="105"/>
      <c r="C39" s="105"/>
      <c r="D39" s="105" t="s">
        <v>25</v>
      </c>
      <c r="E39" s="105"/>
      <c r="F39" s="105"/>
      <c r="G39" s="105"/>
    </row>
    <row r="40" spans="1:7" x14ac:dyDescent="0.25">
      <c r="A40" s="105"/>
      <c r="B40" s="105"/>
      <c r="C40" s="105"/>
      <c r="D40" s="105"/>
      <c r="E40" s="105"/>
      <c r="F40" s="105"/>
      <c r="G40" s="105"/>
    </row>
    <row r="41" spans="1:7" x14ac:dyDescent="0.25">
      <c r="A41" s="105"/>
      <c r="B41" s="105"/>
      <c r="C41" s="105"/>
      <c r="D41" s="105"/>
      <c r="E41" s="105"/>
      <c r="F41" s="105"/>
      <c r="G41" s="105"/>
    </row>
    <row r="42" spans="1:7" x14ac:dyDescent="0.25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 x14ac:dyDescent="0.25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 x14ac:dyDescent="0.25">
      <c r="A44" s="105"/>
      <c r="B44" s="105"/>
      <c r="C44" s="105"/>
      <c r="D44" s="105"/>
      <c r="E44" s="105"/>
      <c r="F44" s="105"/>
      <c r="G44" s="105"/>
    </row>
    <row r="45" spans="1:7" x14ac:dyDescent="0.25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 x14ac:dyDescent="0.25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2018-08-10T15:38:40Z</dcterms:modified>
</cp:coreProperties>
</file>