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N36" i="18" l="1"/>
  <c r="E245" i="15"/>
  <c r="O34" i="18" l="1"/>
  <c r="N18" i="33" l="1"/>
  <c r="B18" i="33" s="1"/>
  <c r="C18" i="33"/>
  <c r="D18" i="33"/>
  <c r="E18" i="33"/>
  <c r="G18" i="33"/>
  <c r="H18" i="33"/>
  <c r="I18" i="33"/>
  <c r="K18" i="33"/>
  <c r="L18" i="33"/>
  <c r="B17" i="33"/>
  <c r="AC15" i="33"/>
  <c r="E244" i="15"/>
  <c r="J18" i="33" l="1"/>
  <c r="F18" i="33"/>
  <c r="D62" i="43" l="1"/>
  <c r="Q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C17" i="33" s="1"/>
  <c r="N9" i="33"/>
  <c r="C91" i="36" l="1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l="1"/>
  <c r="F245" i="15"/>
  <c r="D243" i="15"/>
  <c r="D242" i="15" s="1"/>
  <c r="F244" i="15"/>
  <c r="B263" i="15"/>
  <c r="F242" i="15" l="1"/>
  <c r="D241" i="15"/>
  <c r="D240" i="15" s="1"/>
  <c r="D239" i="15" s="1"/>
  <c r="D238" i="15" s="1"/>
  <c r="D237" i="15" s="1"/>
  <c r="F243" i="15"/>
  <c r="F239" i="15"/>
  <c r="F240" i="15"/>
  <c r="Z73" i="18"/>
  <c r="AA73" i="18" s="1"/>
  <c r="O61" i="18"/>
  <c r="F241" i="15" l="1"/>
  <c r="B27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1" i="13" l="1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B23" i="33"/>
  <c r="U23" i="33" s="1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5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<sst xmlns="http://schemas.openxmlformats.org/spreadsheetml/2006/main" count="8339" uniqueCount="3987">
  <si>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</si>
  <si>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</si>
  <si>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</si>
  <si>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</si>
  <si>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</si>
  <si>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</si>
  <si>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</si>
  <si>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</si>
  <si>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</si>
  <si>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</si>
  <si>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</si>
  <si>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</si>
  <si>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</si>
  <si>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</si>
  <si>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</si>
  <si>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</si>
  <si>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</si>
  <si>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</si>
  <si>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</si>
  <si>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</si>
  <si>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</si>
  <si>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</si>
  <si>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</si>
  <si>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</si>
  <si>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</si>
  <si>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</si>
  <si>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</si>
  <si>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</si>
  <si>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</si>
  <si>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</si>
  <si>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</si>
  <si>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</si>
  <si>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</si>
  <si>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</si>
  <si>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</si>
  <si>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</si>
  <si>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</si>
  <si>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</si>
  <si>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</si>
  <si>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</si>
  <si>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</si>
  <si>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</si>
  <si>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</si>
  <si>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</si>
  <si>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</si>
  <si>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</si>
  <si>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</si>
  <si>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</si>
  <si>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</si>
  <si>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</si>
  <si>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</si>
  <si>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</si>
  <si>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</si>
  <si>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</si>
  <si>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</si>
  <si>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</si>
  <si>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</si>
  <si>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</si>
  <si>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</si>
  <si>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</si>
  <si>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</si>
  <si>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</si>
  <si>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</si>
  <si>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</si>
  <si>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</si>
  <si>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</si>
  <si>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</si>
  <si>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</si>
  <si>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</si>
  <si>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</si>
  <si>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</si>
  <si>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</si>
  <si>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</si>
  <si>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</si>
  <si>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</si>
  <si>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</si>
  <si>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</si>
  <si>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</si>
  <si>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</si>
  <si>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</si>
  <si>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</si>
  <si>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</si>
  <si>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</si>
  <si>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</si>
  <si>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</si>
  <si>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</si>
  <si>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</si>
  <si>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</si>
  <si>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</si>
  <si>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</si>
  <si>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</si>
  <si>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</si>
  <si>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</si>
  <si>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</si>
  <si>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</si>
  <si>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</si>
  <si>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</si>
  <si>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</si>
  <si>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</si>
  <si>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</si>
  <si>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</si>
  <si>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</si>
  <si>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</si>
  <si>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</si>
  <si>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</si>
  <si>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</si>
  <si>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</si>
  <si>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</si>
  <si>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</si>
  <si>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</si>
  <si>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</si>
  <si>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</si>
  <si>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</si>
  <si>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</si>
  <si>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</si>
  <si>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</si>
  <si>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</si>
  <si>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</si>
  <si>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</si>
  <si>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</si>
  <si>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</si>
  <si>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</si>
  <si>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</si>
  <si>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</si>
  <si>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</si>
  <si>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</si>
  <si>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</si>
  <si>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</si>
  <si>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</si>
  <si>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</si>
  <si>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</si>
  <si>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</si>
  <si>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</si>
  <si>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</si>
  <si>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</si>
  <si>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</si>
  <si>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</si>
  <si>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</si>
  <si>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</si>
  <si>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</si>
  <si>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</si>
  <si>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</si>
  <si>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</si>
  <si>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</si>
  <si>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</si>
  <si>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</si>
  <si>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</si>
  <si>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</si>
  <si>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</si>
  <si>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</si>
  <si>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</si>
  <si>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</si>
  <si>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</si>
  <si>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</si>
  <si>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</si>
  <si>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</si>
  <si>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</si>
  <si>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</si>
  <si>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</si>
  <si>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</si>
  <si>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</si>
  <si>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</si>
  <si>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</si>
  <si>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</si>
  <si>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</si>
  <si>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</si>
  <si>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</si>
  <si>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</si>
  <si>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</si>
  <si>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</si>
  <si>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</si>
  <si>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</si>
  <si>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</si>
  <si>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</si>
  <si>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</si>
  <si>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</si>
  <si>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</si>
  <si>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</si>
  <si>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</si>
  <si>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</si>
  <si>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</si>
  <si>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</si>
  <si>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</si>
  <si>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</si>
  <si>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</si>
  <si>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</si>
  <si>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</si>
  <si>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</si>
  <si>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</si>
  <si>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</si>
  <si>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</si>
  <si>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</si>
  <si>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</si>
  <si>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</si>
  <si>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</si>
  <si>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</si>
  <si>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</si>
  <si>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</si>
  <si>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</si>
  <si>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</si>
  <si>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</si>
  <si>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</si>
  <si>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</si>
  <si>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</si>
  <si>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</si>
  <si>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</si>
  <si>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</si>
  <si>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</si>
  <si>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</si>
  <si>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</si>
  <si>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</si>
  <si>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</si>
  <si>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</si>
  <si>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</si>
  <si>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</si>
  <si>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</si>
  <si>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</si>
  <si>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</si>
  <si>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</si>
  <si>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</si>
  <si>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</si>
  <si>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</si>
  <si>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</si>
  <si>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</si>
  <si>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</si>
  <si>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</si>
  <si>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</si>
  <si>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</si>
  <si>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</si>
  <si>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</si>
  <si>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</si>
  <si>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</si>
  <si>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</si>
  <si>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</si>
  <si>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</si>
  <si>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</si>
  <si>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</si>
  <si>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</si>
  <si>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</si>
  <si>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</si>
  <si>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</si>
  <si>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</si>
  <si>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</si>
  <si>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</si>
  <si>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</si>
  <si>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</si>
  <si>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</si>
  <si>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</si>
  <si>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</si>
  <si>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</si>
  <si>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</si>
  <si>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</si>
  <si>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</si>
  <si>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</si>
  <si>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</si>
  <si>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</si>
  <si>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</si>
  <si>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</si>
  <si>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</si>
  <si>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</si>
  <si>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</si>
  <si>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</si>
  <si>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</si>
  <si>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</si>
  <si>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</si>
  <si>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</si>
  <si>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</si>
  <si>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</si>
  <si>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</si>
  <si>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</si>
  <si>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</si>
  <si>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</si>
  <si>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</si>
  <si>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</si>
  <si>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</si>
  <si>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</si>
  <si>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</si>
  <si>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</si>
  <si>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</si>
  <si>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</si>
  <si>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</si>
  <si>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</si>
  <si>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</si>
  <si>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</si>
  <si>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</si>
  <si>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</si>
  <si>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</si>
  <si>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</si>
  <si>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</si>
  <si>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</si>
  <si>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</si>
  <si>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</si>
  <si>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</si>
  <si>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</si>
  <si>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</si>
  <si>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</si>
  <si>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</si>
  <si>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</si>
  <si>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</si>
  <si>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</si>
  <si>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</si>
  <si>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</si>
  <si>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</si>
  <si>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</si>
  <si>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</si>
  <si>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</si>
  <si>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</si>
  <si>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</si>
  <si>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</si>
  <si>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</si>
  <si>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</si>
  <si>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</si>
  <si>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</si>
  <si>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</si>
  <si>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</si>
  <si>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</si>
  <si>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</si>
  <si>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</si>
  <si>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</si>
  <si>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</si>
  <si>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</si>
  <si>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</si>
  <si>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</si>
  <si>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</si>
  <si>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</si>
  <si>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</si>
  <si>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</si>
  <si>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</si>
  <si>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</si>
  <si>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</si>
  <si>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</si>
  <si>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</si>
  <si>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</si>
  <si>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</si>
  <si>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</si>
  <si>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</si>
  <si>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</si>
  <si>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</si>
  <si>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</si>
  <si>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</si>
  <si>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</si>
  <si>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</si>
  <si>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</si>
  <si>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</si>
  <si>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</si>
  <si>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</si>
  <si>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</si>
  <si>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</si>
  <si>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</si>
  <si>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</si>
  <si>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</si>
  <si>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</si>
  <si>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</si>
  <si>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</si>
  <si>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</si>
  <si>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</si>
  <si>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</si>
  <si>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</si>
  <si>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</si>
  <si>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</si>
  <si>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</si>
  <si>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</si>
  <si>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</si>
  <si>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</si>
  <si>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</si>
  <si>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</si>
  <si>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</si>
  <si>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</si>
  <si>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</si>
  <si>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</si>
  <si>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</si>
  <si>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</si>
  <si>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</si>
  <si>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</si>
  <si>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</si>
  <si>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</si>
  <si>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</si>
  <si>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</si>
  <si>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</si>
  <si>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</si>
  <si>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</si>
  <si>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</si>
  <si>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</si>
  <si>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</si>
  <si>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</si>
  <si>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</si>
  <si>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</si>
  <si>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</si>
  <si>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</si>
  <si>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</si>
  <si>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</si>
  <si>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</si>
  <si>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</si>
  <si>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</si>
  <si>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</si>
  <si>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</si>
  <si>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</si>
  <si>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</si>
  <si>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</si>
  <si>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</si>
  <si>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</si>
  <si>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</si>
  <si>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</si>
  <si>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</si>
  <si>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</si>
  <si>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</si>
  <si>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</si>
  <si>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</si>
  <si>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</si>
  <si>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</si>
  <si>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</si>
  <si>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</si>
  <si>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</si>
  <si>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</si>
  <si>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</si>
  <si>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</si>
  <si>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</si>
  <si>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</si>
  <si>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</si>
  <si>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</si>
  <si>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</si>
  <si>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</si>
  <si>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</si>
  <si>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</si>
  <si>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</si>
  <si>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</si>
  <si>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</si>
  <si>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</si>
  <si>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</si>
  <si>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</si>
  <si>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</si>
  <si>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</si>
  <si>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</si>
  <si>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</si>
  <si>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</si>
  <si>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</si>
  <si>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</si>
  <si>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</si>
  <si>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</si>
  <si>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</si>
  <si>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</si>
  <si>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</si>
  <si>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</si>
  <si>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</si>
  <si>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</si>
  <si>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</si>
  <si>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</si>
  <si>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</si>
  <si>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</si>
  <si>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</si>
  <si>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</si>
  <si>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</si>
  <si>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</si>
  <si>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</si>
  <si>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</si>
  <si>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</si>
  <si>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</si>
  <si>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</si>
  <si>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</si>
  <si>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</si>
  <si>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</si>
  <si>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</si>
  <si>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</si>
  <si>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</si>
  <si>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</si>
  <si>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</si>
  <si>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</si>
  <si>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</si>
  <si>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</si>
  <si>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</si>
  <si>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</si>
  <si>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</si>
  <si>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</si>
  <si>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</si>
  <si>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</si>
  <si>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</si>
  <si>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</si>
  <si>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</si>
  <si>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</si>
  <si>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</si>
  <si>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</si>
  <si>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</si>
  <si>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</si>
  <si>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</si>
  <si>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</si>
  <si>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</si>
  <si>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</si>
  <si>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</si>
  <si>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</si>
  <si>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</si>
  <si>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</si>
  <si>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</si>
  <si>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</si>
  <si>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</si>
  <si>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</si>
  <si>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</si>
  <si>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</si>
  <si>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</si>
  <si>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</si>
  <si>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</si>
  <si>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</si>
  <si>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</si>
  <si>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</si>
  <si>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</si>
  <si>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</si>
  <si>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</si>
  <si>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</si>
  <si>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</si>
  <si>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</si>
  <si>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</si>
  <si>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</si>
  <si>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</si>
  <si>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</si>
  <si>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</si>
  <si>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</si>
  <si>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</si>
  <si>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</si>
  <si>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</si>
  <si>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</si>
  <si>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</si>
  <si>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</si>
  <si>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</si>
  <si>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</si>
  <si>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</si>
  <si>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</si>
  <si>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</si>
  <si>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</si>
  <si>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</si>
  <si>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</si>
  <si>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</si>
  <si>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</si>
  <si>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</si>
  <si>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</si>
  <si>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</si>
  <si>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</si>
  <si>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</si>
  <si>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</si>
  <si>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</si>
  <si>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</si>
  <si>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</si>
  <si>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</si>
  <si>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</si>
  <si>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</si>
  <si>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</si>
  <si>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</si>
  <si>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</si>
  <si>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</si>
  <si>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</si>
  <si>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</si>
  <si>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</si>
  <si>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</si>
  <si>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</si>
  <si>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</si>
  <si>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</si>
  <si>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</si>
  <si>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</si>
  <si>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</si>
  <si>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</si>
  <si>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</si>
  <si>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</si>
  <si>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</si>
  <si>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</si>
  <si>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</si>
  <si>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</si>
  <si>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</si>
  <si>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</si>
  <si>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</si>
  <si>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</si>
  <si>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</si>
  <si>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</si>
  <si>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</si>
  <si>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</si>
  <si>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</si>
  <si>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</si>
  <si>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</si>
  <si>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</si>
  <si>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</si>
  <si>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</si>
  <si>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</si>
  <si>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</si>
  <si>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</si>
  <si>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</si>
  <si>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</si>
  <si>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</si>
  <si>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</si>
  <si>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</si>
  <si>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</si>
  <si>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</si>
  <si>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</si>
  <si>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</si>
  <si>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</si>
  <si>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</si>
  <si>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</si>
  <si>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</si>
  <si>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</si>
  <si>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</si>
  <si>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</si>
  <si>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</si>
  <si>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</si>
  <si>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</si>
  <si>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</si>
  <si>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</si>
  <si>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</si>
  <si>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</si>
  <si>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</si>
  <si>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</si>
  <si>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</si>
  <si>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</si>
  <si>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</si>
  <si>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</si>
  <si>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</si>
  <si>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</si>
  <si>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</si>
  <si>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</si>
  <si>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</si>
  <si>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</si>
  <si>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</si>
  <si>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</si>
  <si>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</si>
  <si>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</si>
  <si>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</si>
  <si>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</si>
  <si>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</si>
  <si>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</si>
  <si>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</si>
  <si>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</si>
  <si>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</si>
  <si>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</si>
  <si>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</si>
  <si>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</si>
  <si>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</si>
  <si>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</si>
  <si>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</si>
  <si>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</si>
  <si>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</si>
  <si>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</si>
  <si>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</si>
  <si>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</si>
  <si>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</si>
  <si>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</si>
  <si>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</si>
  <si>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</si>
  <si>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</si>
  <si>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</si>
  <si>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</si>
  <si>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</si>
  <si>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</si>
  <si>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</si>
  <si>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</si>
  <si>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</si>
  <si>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</si>
  <si>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</si>
  <si>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</si>
  <si>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</si>
  <si>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</si>
  <si>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</si>
  <si>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</si>
  <si>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</si>
  <si>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</si>
  <si>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</si>
  <si>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</si>
  <si>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</si>
  <si>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</si>
  <si>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</si>
  <si>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</si>
  <si>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</si>
  <si>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</si>
  <si>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</si>
  <si>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</si>
  <si>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</si>
  <si>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</si>
  <si>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</si>
  <si>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</si>
  <si>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</si>
  <si>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</si>
  <si>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</si>
  <si>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</si>
  <si>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</si>
  <si>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</si>
  <si>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</si>
  <si>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</si>
  <si>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</si>
  <si>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</si>
  <si>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</si>
  <si>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</si>
  <si>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</si>
  <si>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</si>
  <si>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</si>
  <si>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</si>
  <si>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</si>
  <si>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</si>
  <si>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</si>
  <si>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</si>
  <si>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</si>
  <si>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</si>
  <si>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</si>
  <si>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</si>
  <si>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</si>
  <si>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</si>
  <si>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</si>
  <si>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</si>
  <si>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</si>
  <si>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</si>
  <si>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</si>
  <si>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</si>
  <si>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</si>
  <si>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</si>
  <si>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</si>
  <si>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</si>
  <si>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</si>
  <si>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</si>
  <si>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</si>
  <si>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</si>
  <si>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</si>
  <si>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</si>
  <si>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</si>
  <si>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</si>
  <si>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</si>
  <si>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</si>
  <si>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</si>
  <si>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</si>
  <si>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</si>
  <si>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</si>
  <si>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</si>
  <si>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</si>
  <si>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</si>
  <si>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</si>
  <si>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</si>
  <si>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</si>
  <si>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</si>
  <si>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</si>
  <si>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</si>
  <si>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</si>
  <si>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</si>
  <si>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</si>
  <si>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</si>
  <si>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</si>
  <si>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</si>
  <si>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</si>
  <si>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</si>
  <si>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</si>
  <si>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</si>
  <si>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</si>
  <si>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</si>
  <si>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</si>
  <si>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</si>
  <si>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</si>
  <si>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</si>
  <si>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</si>
  <si>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</si>
  <si>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</si>
  <si>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</si>
  <si>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</si>
  <si>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</si>
  <si>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</si>
  <si>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</si>
  <si>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</si>
  <si>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</si>
  <si>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</si>
  <si>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</si>
  <si>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</si>
  <si>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</si>
  <si>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</si>
  <si>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</si>
  <si>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</si>
  <si>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</si>
  <si>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</si>
  <si>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</si>
  <si>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</si>
  <si>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</si>
  <si>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</si>
  <si>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</si>
  <si>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</si>
  <si>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</si>
  <si>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</si>
  <si>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</si>
  <si>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</si>
  <si>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</si>
  <si>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</si>
  <si>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</si>
  <si>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</si>
  <si>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</si>
  <si>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</si>
  <si>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</si>
  <si>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</si>
  <si>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</si>
  <si>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</si>
  <si>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</si>
  <si>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</si>
  <si>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</si>
  <si>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</si>
  <si>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</si>
  <si>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</si>
  <si>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</si>
  <si>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</si>
  <si>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</si>
  <si>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</si>
  <si>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</si>
  <si>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</si>
  <si>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</si>
  <si>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</si>
  <si>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</si>
  <si>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</si>
  <si>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</si>
  <si>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</si>
  <si>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</si>
  <si>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</si>
  <si>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</si>
  <si>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</si>
  <si>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</si>
  <si>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</si>
  <si>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</si>
  <si>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</si>
  <si>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</si>
  <si>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</si>
  <si>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</si>
  <si>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</si>
  <si>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</si>
  <si>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</si>
  <si>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</si>
  <si>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</si>
  <si>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</si>
  <si>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</si>
  <si>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</si>
  <si>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</si>
  <si>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</si>
  <si>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</si>
  <si>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</si>
  <si>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</si>
  <si>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</si>
  <si>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</si>
  <si>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</si>
  <si>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</si>
  <si>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</si>
  <si>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</si>
  <si>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</si>
  <si>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</si>
  <si>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</si>
  <si>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</si>
  <si>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</si>
  <si>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</si>
  <si>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</si>
  <si>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</si>
  <si>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</si>
  <si>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</si>
  <si>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</si>
  <si>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</si>
  <si>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</si>
  <si>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</si>
  <si>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</si>
  <si>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</si>
  <si>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</si>
  <si>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</si>
  <si>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</si>
  <si>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</si>
  <si>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</si>
  <si>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</si>
  <si>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</si>
  <si>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</si>
  <si>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</si>
  <si>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</si>
  <si>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</si>
  <si>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</si>
  <si>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</si>
  <si>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</si>
  <si>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</si>
  <si>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</si>
  <si>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</si>
  <si>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</si>
  <si>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</si>
  <si>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</si>
  <si>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</si>
  <si>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</si>
  <si>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</si>
  <si>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</si>
  <si>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</si>
  <si>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</si>
  <si>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</si>
  <si>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</si>
  <si>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</si>
  <si>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</si>
  <si>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</si>
  <si>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</si>
  <si>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</si>
  <si>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</si>
  <si>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</si>
  <si>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</si>
  <si>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</si>
  <si>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</si>
  <si>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</si>
  <si>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</si>
  <si>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</si>
  <si>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</si>
  <si>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</si>
  <si>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</si>
  <si>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</si>
  <si>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</si>
  <si>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</si>
  <si>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</si>
  <si>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</si>
  <si>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</si>
  <si>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</si>
  <si>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</si>
  <si>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</si>
  <si>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</si>
  <si>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</si>
  <si>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</si>
  <si>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</si>
  <si>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</si>
  <si>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</si>
  <si>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</si>
  <si>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</si>
  <si>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</si>
  <si>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</si>
  <si>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</si>
  <si>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</si>
  <si>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</si>
  <si>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</si>
  <si>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</si>
  <si>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</si>
  <si>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</si>
  <si>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</si>
  <si>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</si>
  <si>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</si>
  <si>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</si>
  <si>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</si>
  <si>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</si>
  <si>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</si>
  <si>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</si>
  <si>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</si>
  <si>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</si>
  <si>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</si>
  <si>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</si>
  <si>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</si>
  <si>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</si>
  <si>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</si>
  <si>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</si>
  <si>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</si>
  <si>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</si>
  <si>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</si>
  <si>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</si>
  <si>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</si>
  <si>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</si>
  <si>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</si>
  <si>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</si>
  <si>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</si>
  <si>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</si>
  <si>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</si>
  <si>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</si>
  <si>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</si>
  <si>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</si>
  <si>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</si>
  <si>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</si>
  <si>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</si>
  <si>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</si>
  <si>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</si>
  <si>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</si>
  <si>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</si>
  <si>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</si>
  <si>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</si>
  <si>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</si>
  <si>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</si>
  <si>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</si>
  <si>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</si>
  <si>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</si>
  <si>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</si>
  <si>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</si>
  <si>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</si>
  <si>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</si>
  <si>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</si>
  <si>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</si>
  <si>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</si>
  <si>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</si>
  <si>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</si>
  <si>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</si>
  <si>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</si>
  <si>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</si>
  <si>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</si>
  <si>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</si>
  <si>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</si>
  <si>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</si>
  <si>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</si>
  <si>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</si>
  <si>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</si>
  <si>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</si>
  <si>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</si>
  <si>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</si>
  <si>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</si>
  <si>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</si>
  <si>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</si>
  <si>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</si>
  <si>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</si>
  <si>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</si>
  <si>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</si>
  <si>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</si>
  <si>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</si>
  <si>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</si>
  <si>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</si>
  <si>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</si>
  <si>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</si>
  <si>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</si>
  <si>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</si>
  <si>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</si>
  <si>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</si>
  <si>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</si>
  <si>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</si>
  <si>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</si>
  <si>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</si>
  <si>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</si>
  <si>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</si>
  <si>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</si>
  <si>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</si>
  <si>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</si>
  <si>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</si>
  <si>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</si>
  <si>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</si>
  <si>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</si>
  <si>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</si>
  <si>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</si>
  <si>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</si>
  <si>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</si>
  <si>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</si>
  <si>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</si>
  <si>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</si>
  <si>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</si>
  <si>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</si>
  <si>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</si>
  <si>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</si>
  <si>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</si>
  <si>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</si>
  <si>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</si>
  <si>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</si>
  <si>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</si>
  <si>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</si>
  <si>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</si>
  <si>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</si>
  <si>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</si>
  <si>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</si>
  <si>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</si>
  <si>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</si>
  <si>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</si>
  <si>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</si>
  <si>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</si>
  <si>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</si>
  <si>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</si>
  <si>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</si>
  <si>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</si>
  <si>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</si>
  <si>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</si>
  <si>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</si>
  <si>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</si>
  <si>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</si>
  <si>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</si>
  <si>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</si>
  <si>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</si>
  <si>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</si>
  <si>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</si>
  <si>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</si>
  <si>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</si>
  <si>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</si>
  <si>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</si>
  <si>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</si>
  <si>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</si>
  <si>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</si>
  <si>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</si>
  <si>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</si>
  <si>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</si>
  <si>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</si>
  <si>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</si>
  <si>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</si>
  <si>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</si>
  <si>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</si>
  <si>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</si>
  <si>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</si>
  <si>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</si>
  <si>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</si>
  <si>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</si>
  <si>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</si>
  <si>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</si>
  <si>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</si>
  <si>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</si>
  <si>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</si>
  <si>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</si>
  <si>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</si>
  <si>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</si>
  <si>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</si>
  <si>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</si>
  <si>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</si>
  <si>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</si>
  <si>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</si>
  <si>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</si>
  <si>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</si>
  <si>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</si>
  <si>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</si>
  <si>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</si>
  <si>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</si>
  <si>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</si>
  <si>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</si>
  <si>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</si>
  <si>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</si>
  <si>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</si>
  <si>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</si>
  <si>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</si>
  <si>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</si>
  <si>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</si>
  <si>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</si>
  <si>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</si>
  <si>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</si>
  <si>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</si>
  <si>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</si>
  <si>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</si>
  <si>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</si>
  <si>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</si>
  <si>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</si>
  <si>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</si>
  <si>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</si>
  <si>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</si>
  <si>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</si>
  <si>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</si>
  <si>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</si>
  <si>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</si>
  <si>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</si>
  <si>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</si>
  <si>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</si>
  <si>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</si>
  <si>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</si>
  <si>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</si>
  <si>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</si>
  <si>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</si>
  <si>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</si>
  <si>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</si>
  <si>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</si>
  <si>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</si>
  <si>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</si>
  <si>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</si>
  <si>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</si>
  <si>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</si>
  <si>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</si>
  <si>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</si>
  <si>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</si>
  <si>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</si>
  <si>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</si>
  <si>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</si>
  <si>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</si>
  <si>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</si>
  <si>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</si>
  <si>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</si>
  <si>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</si>
  <si>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</si>
  <si>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</si>
  <si>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</si>
  <si>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</si>
  <si>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</si>
  <si>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</si>
  <si>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</si>
  <si>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</si>
  <si>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</si>
  <si>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</si>
  <si>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</si>
  <si>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</si>
  <si>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</si>
  <si>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</si>
  <si>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</si>
  <si>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</si>
  <si>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</si>
  <si>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</si>
  <si>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</si>
  <si>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</si>
  <si>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</si>
  <si>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</si>
  <si>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</si>
  <si>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</si>
  <si>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</si>
  <si>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</si>
  <si>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</si>
  <si>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</si>
  <si>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</si>
  <si>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</si>
  <si>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</si>
  <si>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</si>
  <si>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</si>
  <si>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</si>
  <si>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</si>
  <si>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</si>
  <si>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</si>
  <si>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</si>
  <si>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</si>
  <si>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</si>
  <si>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</si>
  <si>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</si>
  <si>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</si>
  <si>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</si>
  <si>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</si>
  <si>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</si>
  <si>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</si>
  <si>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</si>
  <si>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</si>
  <si>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</si>
  <si>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</si>
  <si>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</si>
  <si>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</si>
  <si>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</si>
  <si>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</si>
  <si>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</si>
  <si>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</si>
  <si>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</si>
  <si>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</si>
  <si>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</si>
  <si>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</si>
  <si>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</si>
  <si>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</si>
  <si>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</si>
  <si>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</si>
  <si>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</si>
  <si>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</si>
  <si>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</si>
  <si>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</si>
  <si>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</si>
  <si>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</si>
  <si>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</si>
  <si>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</si>
  <si>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</si>
  <si>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</si>
  <si>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</si>
  <si>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</si>
  <si>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</si>
  <si>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</si>
  <si>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</si>
  <si>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</si>
  <si>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</si>
  <si>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</si>
  <si>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</si>
  <si>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</si>
  <si>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</si>
  <si>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</si>
  <si>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</si>
  <si>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</si>
  <si>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</si>
  <si>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</si>
  <si>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</si>
  <si>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</si>
  <si>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</si>
  <si>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</si>
  <si>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</si>
  <si>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</si>
  <si>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</si>
  <si>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</si>
  <si>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</si>
  <si>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</si>
  <si>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</si>
  <si>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</si>
  <si>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</si>
  <si>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</si>
  <si>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</si>
  <si>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</si>
  <si>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</si>
  <si>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</si>
  <si>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</si>
  <si>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</si>
  <si>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</si>
  <si>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</si>
  <si>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</si>
  <si>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</si>
  <si>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</si>
  <si>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</si>
  <si>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</si>
  <si>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</si>
  <si>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</si>
  <si>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</si>
  <si>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</si>
  <si>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</si>
  <si>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</si>
  <si>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</si>
  <si>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</si>
  <si>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</si>
  <si>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</si>
  <si>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</si>
  <si>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</si>
  <si>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</si>
  <si>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</si>
  <si>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</si>
  <si>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</si>
  <si>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</si>
  <si>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</si>
  <si>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</si>
  <si>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</si>
  <si>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</si>
  <si>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</si>
  <si>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</si>
  <si>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</si>
  <si>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</si>
  <si>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</si>
  <si>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</si>
  <si>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</si>
  <si>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</si>
  <si>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</si>
  <si>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</si>
  <si>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</si>
  <si>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</si>
  <si>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</si>
  <si>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</si>
  <si>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</si>
  <si>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</si>
  <si>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</si>
  <si>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</si>
  <si>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</si>
  <si>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</si>
  <si>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</si>
  <si>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</si>
  <si>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</si>
  <si>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</si>
  <si>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</si>
  <si>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</si>
  <si>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</si>
  <si>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</si>
  <si>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</si>
  <si>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</si>
  <si>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</si>
  <si>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</si>
  <si>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</si>
  <si>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</si>
  <si>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</si>
  <si>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</si>
  <si>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</si>
  <si>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</si>
  <si>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</si>
  <si>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</si>
  <si>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</si>
  <si>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</si>
  <si>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</si>
  <si>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</si>
  <si>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</si>
  <si>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</si>
  <si>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</si>
  <si>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</si>
  <si>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</si>
  <si>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</si>
  <si>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</si>
  <si>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</si>
  <si>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</si>
  <si>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</si>
  <si>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</si>
  <si>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</si>
  <si>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</si>
  <si>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</si>
  <si>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</si>
  <si>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</si>
  <si>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</si>
  <si>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</si>
  <si>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</si>
  <si>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</si>
  <si>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</si>
  <si>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</si>
  <si>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</si>
  <si>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</si>
  <si>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</si>
  <si>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</si>
  <si>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</si>
  <si>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</si>
  <si>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</si>
  <si>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</si>
  <si>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</si>
  <si>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</si>
  <si>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</si>
  <si>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</si>
  <si>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</si>
  <si>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</si>
  <si>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</si>
  <si>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</si>
  <si>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</si>
  <si>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</si>
  <si>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</si>
  <si>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</si>
  <si>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</si>
  <si>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</si>
  <si>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</si>
  <si>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</si>
  <si>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</si>
  <si>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</si>
  <si>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</si>
  <si>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</si>
  <si>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</si>
  <si>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</si>
  <si>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</si>
  <si>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</si>
  <si>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</si>
  <si>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</si>
  <si>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</si>
  <si>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</si>
  <si>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</si>
  <si>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</si>
  <si>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</si>
  <si>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</si>
  <si>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</si>
  <si>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</si>
  <si>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</si>
  <si>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</si>
  <si>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</si>
  <si>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</si>
  <si>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</si>
  <si>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</si>
  <si>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</si>
  <si>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</si>
  <si>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</si>
  <si>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</si>
  <si>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</si>
  <si>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</si>
  <si>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</si>
  <si>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</si>
  <si>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</si>
  <si>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</si>
  <si>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</si>
  <si>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</si>
  <si>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</si>
  <si>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</si>
  <si>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</si>
  <si>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</si>
  <si>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</si>
  <si>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</si>
  <si>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</si>
  <si>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</si>
  <si>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</si>
  <si>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</si>
  <si>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</si>
  <si>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</si>
  <si>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</si>
  <si>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</si>
  <si>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</si>
  <si>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</si>
  <si>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</si>
  <si>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</si>
  <si>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</si>
  <si>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</si>
  <si>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</si>
  <si>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</si>
  <si>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</si>
  <si>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</si>
  <si>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</si>
  <si>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</si>
  <si>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</si>
  <si>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</si>
  <si>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</si>
  <si>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</si>
  <si>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</si>
  <si>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</si>
  <si>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</si>
  <si>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</si>
  <si>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</si>
  <si>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</si>
  <si>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</si>
  <si>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</si>
  <si>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</si>
  <si>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</si>
  <si>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</si>
  <si>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</si>
  <si>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</si>
  <si>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</si>
  <si>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</si>
  <si>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</si>
  <si>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</si>
  <si>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</si>
  <si>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</si>
  <si>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</si>
  <si>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</si>
  <si>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</si>
  <si>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</si>
  <si>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</si>
  <si>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</si>
  <si>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</si>
  <si>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</si>
  <si>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</si>
  <si>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</si>
  <si>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</si>
  <si>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</si>
  <si>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</si>
  <si>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</si>
  <si>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</si>
  <si>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</si>
  <si>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</si>
  <si>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</si>
  <si>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</si>
  <si>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</si>
  <si>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</si>
  <si>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</si>
  <si>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</si>
  <si>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</si>
  <si>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</si>
  <si>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</si>
  <si>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</si>
  <si>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</si>
  <si>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</si>
  <si>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</si>
  <si>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</si>
  <si>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</si>
  <si>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</si>
  <si>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</si>
  <si>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</si>
  <si>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</si>
  <si>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</si>
  <si>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</si>
  <si>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</si>
  <si>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</si>
  <si>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</si>
  <si>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</si>
  <si>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</si>
  <si>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</si>
  <si>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</si>
  <si>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</si>
  <si>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</si>
  <si>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</si>
  <si>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</si>
  <si>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</si>
  <si>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</si>
  <si>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</si>
  <si>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</si>
  <si>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</si>
  <si>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</si>
  <si>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</si>
  <si>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</si>
  <si>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</si>
  <si>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</si>
  <si>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</si>
  <si>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</si>
  <si>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</si>
  <si>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</si>
  <si>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</si>
  <si>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</si>
  <si>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</si>
  <si>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</si>
  <si>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</si>
  <si>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</si>
  <si>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</si>
  <si>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</si>
  <si>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</si>
  <si>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</si>
  <si>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</si>
  <si>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</si>
  <si>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</si>
  <si>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</si>
  <si>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</si>
  <si>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</si>
  <si>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</si>
  <si>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</si>
  <si>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</si>
  <si>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</si>
  <si>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</si>
  <si>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</si>
  <si>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</si>
  <si>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</si>
  <si>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</si>
  <si>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</si>
  <si>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</si>
  <si>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</si>
  <si>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</si>
  <si>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</si>
  <si>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</si>
  <si>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</si>
  <si>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</si>
  <si>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</si>
  <si>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</si>
  <si>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</si>
  <si>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</si>
  <si>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</si>
  <si>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</si>
  <si>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</si>
  <si>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</si>
  <si>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</si>
  <si>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</si>
  <si>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</si>
  <si>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</si>
  <si>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</si>
  <si>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</si>
  <si>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</si>
  <si>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</si>
  <si>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</si>
  <si>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</si>
  <si>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</si>
  <si>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</si>
  <si>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</si>
  <si>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</si>
  <si>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</si>
  <si>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</si>
  <si>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</si>
  <si>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</si>
  <si>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</si>
  <si>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</si>
  <si>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</si>
  <si>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</si>
  <si>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</si>
  <si>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</si>
  <si>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</si>
  <si>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</si>
  <si>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</si>
  <si>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</si>
  <si>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</si>
  <si>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</si>
  <si>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</si>
  <si>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</si>
  <si>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</si>
  <si>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</si>
  <si>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</si>
  <si>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</si>
  <si>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</si>
  <si>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</si>
  <si>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</si>
  <si>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</si>
  <si>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</si>
  <si>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</si>
  <si>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</si>
  <si>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</si>
  <si>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</si>
  <si>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</si>
  <si>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</si>
  <si>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</si>
  <si>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</si>
  <si>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</si>
  <si>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</si>
  <si>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</si>
  <si>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</si>
  <si>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</si>
  <si>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</si>
  <si>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</si>
  <si>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</si>
  <si>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</si>
  <si>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</si>
  <si>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</si>
  <si>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</si>
  <si>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</si>
  <si>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</si>
  <si>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</si>
  <si>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</si>
  <si>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</si>
  <si>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</si>
  <si>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</si>
  <si>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</si>
  <si>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</si>
  <si>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</si>
  <si>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</si>
  <si>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</si>
  <si>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</si>
  <si>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</si>
  <si>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</si>
  <si>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</si>
  <si>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</si>
  <si>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</si>
  <si>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</si>
  <si>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</si>
  <si>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</si>
  <si>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</si>
  <si>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</si>
  <si>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</si>
  <si>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</si>
  <si>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</si>
  <si>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</si>
  <si>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</si>
  <si>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</si>
  <si>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</si>
  <si>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</si>
  <si>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</si>
  <si>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</si>
  <si>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</si>
  <si>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</si>
  <si>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</si>
  <si>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</si>
  <si>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</si>
  <si>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</si>
  <si>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</si>
  <si>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</si>
  <si>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</si>
  <si>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</si>
  <si>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</si>
  <si>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</si>
  <si>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</si>
  <si>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</si>
  <si>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</si>
  <si>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</si>
  <si>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</si>
  <si>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</si>
  <si>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</si>
  <si>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</si>
  <si>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</si>
  <si>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</si>
  <si>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</si>
  <si>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</si>
  <si>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</si>
  <si>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</si>
  <si>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</si>
  <si>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</si>
  <si>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</si>
  <si>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</si>
  <si>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</si>
  <si>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</si>
  <si>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</si>
  <si>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</si>
  <si>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</si>
  <si>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</si>
  <si>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</si>
  <si>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</si>
  <si>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</si>
  <si>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</si>
  <si>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</si>
  <si>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</si>
  <si>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</si>
  <si>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</si>
  <si>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</si>
  <si>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</si>
  <si>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</si>
  <si>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</si>
  <si>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</si>
  <si>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</si>
  <si>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</si>
  <si>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</si>
  <si>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</si>
  <si>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</si>
  <si>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</si>
  <si>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</si>
  <si>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</si>
  <si>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</si>
  <si>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</si>
  <si>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</si>
  <si>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</si>
  <si>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</si>
  <si>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</si>
  <si>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</si>
  <si>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</si>
  <si>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</si>
  <si>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</si>
  <si>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</si>
  <si>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</si>
  <si>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</si>
  <si>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</si>
  <si>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</si>
  <si>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</si>
  <si>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</si>
  <si>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</si>
  <si>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</si>
  <si>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</si>
  <si>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</si>
  <si>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</si>
  <si>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</si>
  <si>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</si>
  <si>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</si>
  <si>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</si>
  <si>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</si>
  <si>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</si>
  <si>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</si>
  <si>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</si>
  <si>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</si>
  <si>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</si>
  <si>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</si>
  <si>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</si>
  <si>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</si>
  <si>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</si>
  <si>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</si>
  <si>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</si>
  <si>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</si>
  <si>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</si>
  <si>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</si>
  <si>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</si>
  <si>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</si>
  <si>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</si>
  <si>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</si>
  <si>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</si>
  <si>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</si>
  <si>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</si>
  <si>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</si>
  <si>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</si>
  <si>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</si>
  <si>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</si>
  <si>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</si>
  <si>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</si>
  <si>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</si>
  <si>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</si>
  <si>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</si>
  <si>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</si>
  <si>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</si>
  <si>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</si>
  <si>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</si>
  <si>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</si>
  <si>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</si>
  <si>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</si>
  <si>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</si>
  <si>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</si>
  <si>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</si>
  <si>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</si>
  <si>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</si>
  <si>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</si>
  <si>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</si>
  <si>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</si>
  <si>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</si>
  <si>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</si>
  <si>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</si>
  <si>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</si>
  <si>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</si>
  <si>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</si>
  <si>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</si>
  <si>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</si>
  <si>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</si>
  <si>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</si>
  <si>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</si>
  <si>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</si>
  <si>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</si>
  <si>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</si>
  <si>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</si>
  <si>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</si>
  <si>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</si>
  <si>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</si>
  <si>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</si>
  <si>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</si>
  <si>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</si>
  <si>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</si>
  <si>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</si>
  <si>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</si>
  <si>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</si>
  <si>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</si>
  <si>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</si>
  <si>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</si>
  <si>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</si>
  <si>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</si>
  <si>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</si>
  <si>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</si>
  <si>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</si>
  <si>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</si>
  <si>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</si>
  <si>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</si>
  <si>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</si>
  <si>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</si>
  <si>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</si>
  <si>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</si>
  <si>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</si>
  <si>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</si>
  <si>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</si>
  <si>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</si>
  <si>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</si>
  <si>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</si>
  <si>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</si>
  <si>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</si>
  <si>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</si>
  <si>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</si>
  <si>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</si>
  <si>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</si>
  <si>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</si>
  <si>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</si>
  <si>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</si>
  <si>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</si>
  <si>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</si>
  <si>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</si>
  <si>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</si>
  <si>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</si>
  <si>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</si>
  <si>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</si>
  <si>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</si>
  <si>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</si>
  <si>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</si>
  <si>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</si>
  <si>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</si>
  <si>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</si>
  <si>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</si>
  <si>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</si>
  <si>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</si>
  <si>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</si>
  <si>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</si>
  <si>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</si>
  <si>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</si>
  <si>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</si>
  <si>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</si>
  <si>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</si>
  <si>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</si>
  <si>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</si>
  <si>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</si>
  <si>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</si>
  <si>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</si>
  <si>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</si>
  <si>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</si>
  <si>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</si>
  <si>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</si>
  <si>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</si>
  <si>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</si>
  <si>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</si>
  <si>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</si>
  <si>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</si>
  <si>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</si>
  <si>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</si>
  <si>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</si>
  <si>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</si>
  <si>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</si>
  <si>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</si>
  <si>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</si>
  <si>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</si>
  <si>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</si>
  <si>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</si>
  <si>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</si>
  <si>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</si>
  <si>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</si>
  <si>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</si>
  <si>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</si>
  <si>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</si>
  <si>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</si>
  <si>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</si>
  <si>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</si>
  <si>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</si>
  <si>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</si>
  <si>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</si>
  <si>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</si>
  <si>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</si>
  <si>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</si>
  <si>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</si>
  <si>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</si>
  <si>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</si>
  <si>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</si>
  <si>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</si>
  <si>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</si>
  <si>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</si>
  <si>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</si>
  <si>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</si>
  <si>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</si>
  <si>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</si>
  <si>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</si>
  <si>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</si>
  <si>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</si>
  <si>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</si>
  <si>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</si>
  <si>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</si>
  <si>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</si>
  <si>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</si>
  <si>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</si>
  <si>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</si>
  <si>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</si>
  <si>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</si>
  <si>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</si>
  <si>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</si>
  <si>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</si>
  <si>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</si>
  <si>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</si>
  <si>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</si>
  <si>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</si>
  <si>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</si>
  <si>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</si>
  <si>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</si>
  <si>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</si>
  <si>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</si>
  <si>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</si>
  <si>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</si>
  <si>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</si>
  <si>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</si>
  <si>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</si>
  <si>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</si>
  <si>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</si>
  <si>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</si>
  <si>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</si>
  <si>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</si>
  <si>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</si>
  <si>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</si>
  <si>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</si>
  <si>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</si>
  <si>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</si>
  <si>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</si>
  <si>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</si>
  <si>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</si>
  <si>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</si>
  <si>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</si>
  <si>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</si>
  <si>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</si>
  <si>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</si>
  <si>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</si>
  <si>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</si>
  <si>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</si>
  <si>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</si>
  <si>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</si>
  <si>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</si>
  <si>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</si>
  <si>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</si>
  <si>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</si>
  <si>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</si>
  <si>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</si>
  <si>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</si>
  <si>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</si>
  <si>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</si>
  <si>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</si>
  <si>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</si>
  <si>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</si>
  <si>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</si>
  <si>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</si>
  <si>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</si>
  <si>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</si>
  <si>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</si>
  <si>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</si>
  <si>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</si>
  <si>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</si>
  <si>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</si>
  <si>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</si>
  <si>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</si>
  <si>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</si>
  <si>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</si>
  <si>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</si>
  <si>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</si>
  <si>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</si>
  <si>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</si>
  <si>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</si>
  <si>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</si>
  <si>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</si>
  <si>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</si>
  <si>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</si>
  <si>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</si>
  <si>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</si>
  <si>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</si>
  <si>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</si>
  <si>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</si>
  <si>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</si>
  <si>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</si>
  <si>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</si>
  <si>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</si>
  <si>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</si>
  <si>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</si>
  <si>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</si>
  <si>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</si>
  <si>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</si>
  <si>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</si>
  <si>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</si>
  <si>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</si>
  <si>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</si>
  <si>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</si>
  <si>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</si>
  <si>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</si>
  <si>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</si>
  <si>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</si>
  <si>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</si>
  <si>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</si>
  <si>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</si>
  <si>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</si>
  <si>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</si>
  <si>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</si>
  <si>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</si>
  <si>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</si>
  <si>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</si>
  <si>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</si>
  <si>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</si>
  <si>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</si>
  <si>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</si>
  <si>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</si>
  <si>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</si>
  <si>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</si>
  <si>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</si>
  <si>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</si>
  <si>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</si>
  <si>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</si>
  <si>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</si>
  <si>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</si>
  <si>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</si>
  <si>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</si>
  <si>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</si>
  <si>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</si>
  <si>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</si>
  <si>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</si>
  <si>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</si>
  <si>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</si>
  <si>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</si>
  <si>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</si>
  <si>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</si>
  <si>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</si>
  <si>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</si>
  <si>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</si>
  <si>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</si>
  <si>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</si>
  <si>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</si>
  <si>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</si>
  <si>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</si>
  <si>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</si>
  <si>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</si>
  <si>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</si>
  <si>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</si>
  <si>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</si>
  <si>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</si>
  <si>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</si>
  <si>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</si>
  <si>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</si>
  <si>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</si>
  <si>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</si>
  <si>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</si>
  <si>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</si>
  <si>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</si>
  <si>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</si>
  <si>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</si>
  <si>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</si>
  <si>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</si>
  <si>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</si>
  <si>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</si>
  <si>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</si>
  <si>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</si>
  <si>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</si>
  <si>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</si>
  <si>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</si>
  <si>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</si>
  <si>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</si>
  <si>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</si>
  <si>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</si>
  <si>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</si>
  <si>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</si>
  <si>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</si>
  <si>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</si>
  <si>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</si>
  <si>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</si>
  <si>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</si>
  <si>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</si>
  <si>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</si>
  <si>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</si>
  <si>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</si>
  <si>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</si>
  <si>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</si>
  <si>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</si>
  <si>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</si>
  <si>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</si>
  <si>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</si>
  <si>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</si>
  <si>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</si>
  <si>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</si>
  <si>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</si>
  <si>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</si>
  <si>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</si>
  <si>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</si>
  <si>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</si>
  <si>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</si>
  <si>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</si>
  <si>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</si>
  <si>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</si>
  <si>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</si>
  <si>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</si>
  <si>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</si>
  <si>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</si>
  <si>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</si>
  <si>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</si>
  <si>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</si>
  <si>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</si>
  <si>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</si>
  <si>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</si>
  <si>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</si>
  <si>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</si>
  <si>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</si>
  <si>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</si>
  <si>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</si>
  <si>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</si>
  <si>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</si>
  <si>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</si>
  <si>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</si>
  <si>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</si>
  <si>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</si>
  <si>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</si>
  <si>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</si>
  <si>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</si>
  <si>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</si>
  <si>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</si>
  <si>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</si>
  <si>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</si>
  <si>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</si>
  <si>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</si>
  <si>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</si>
  <si>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</si>
  <si>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</si>
  <si>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</si>
  <si>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</si>
  <si>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</si>
  <si>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</si>
  <si>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</si>
  <si>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</si>
  <si>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</si>
  <si>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</si>
  <si>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</si>
  <si>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</si>
  <si>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</si>
  <si>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</si>
  <si>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</si>
  <si>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</si>
  <si>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</si>
  <si>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</si>
  <si>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</si>
  <si>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</si>
  <si>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</si>
  <si>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</si>
  <si>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</si>
  <si>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</si>
  <si>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</si>
  <si>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</si>
  <si>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</si>
  <si>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</si>
  <si>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</si>
  <si>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</si>
  <si>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</si>
  <si>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</si>
  <si>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</si>
  <si>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</si>
  <si>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</si>
  <si>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</si>
  <si>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</si>
  <si>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</si>
  <si>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</si>
  <si>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</si>
  <si>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</si>
  <si>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</si>
  <si>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</si>
  <si>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</si>
  <si>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</si>
  <si>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</si>
  <si>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</si>
  <si>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</si>
  <si>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</si>
  <si>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</si>
  <si>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</si>
  <si>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</si>
  <si>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</si>
  <si>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</si>
  <si>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</si>
  <si>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</si>
  <si>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</si>
  <si>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</si>
  <si>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</si>
  <si>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</si>
  <si>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</si>
  <si>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</si>
  <si>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</si>
  <si>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</si>
  <si>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</si>
  <si>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</si>
  <si>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</si>
  <si>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</si>
  <si>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</si>
  <si>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</si>
  <si>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</si>
  <si>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</si>
  <si>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</si>
  <si>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</si>
  <si>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</si>
  <si>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</si>
  <si>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</si>
  <si>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</si>
  <si>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</si>
  <si>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</si>
  <si>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</si>
  <si>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</si>
  <si>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</si>
  <si>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</si>
  <si>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</si>
  <si>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</si>
  <si>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</si>
  <si>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</si>
  <si>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</si>
  <si>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</si>
  <si>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</si>
  <si>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</si>
  <si>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</si>
  <si>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</si>
  <si>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</si>
  <si>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</si>
  <si>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</si>
  <si>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</si>
  <si>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</si>
  <si>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</si>
  <si>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</si>
  <si>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</si>
  <si>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</si>
  <si>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</si>
  <si>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</si>
  <si>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</si>
  <si>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</si>
  <si>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</si>
  <si>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</si>
  <si>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</si>
  <si>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</si>
  <si>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</si>
  <si>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</si>
  <si>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</si>
  <si>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</si>
  <si>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</si>
  <si>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</si>
  <si>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</si>
  <si>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</si>
  <si>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</si>
  <si>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</si>
  <si>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</si>
  <si>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</si>
  <si>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</si>
  <si>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</si>
  <si>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</si>
  <si>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</si>
  <si>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</si>
  <si>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</si>
  <si>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</si>
  <si>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</si>
  <si>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</si>
  <si>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</si>
  <si>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</si>
  <si>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</si>
  <si>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</si>
  <si>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</si>
  <si>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</si>
  <si>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</si>
  <si>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</si>
  <si>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</si>
  <si>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</si>
  <si>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</si>
  <si>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</si>
  <si>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</si>
  <si>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</si>
  <si>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</si>
  <si>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</si>
  <si>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</si>
  <si>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</si>
  <si>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</si>
  <si>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</si>
  <si>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</si>
  <si>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</si>
  <si>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</si>
  <si>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</si>
  <si>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</si>
  <si>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</si>
  <si>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</si>
  <si>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</si>
  <si>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</si>
  <si>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</si>
  <si>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</si>
  <si>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</si>
  <si>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</si>
  <si>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</si>
  <si>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</si>
  <si>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</si>
  <si>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</si>
  <si>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</si>
  <si>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</si>
  <si>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</si>
  <si>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</si>
  <si>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</si>
  <si>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</si>
  <si>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</si>
  <si>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</si>
  <si>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</si>
  <si>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</si>
  <si>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</si>
  <si>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</si>
  <si>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</si>
  <si>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</si>
  <si>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</si>
  <si>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</si>
  <si>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</si>
  <si>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</si>
  <si>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</si>
  <si>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</si>
  <si>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</si>
  <si>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</si>
  <si>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</si>
  <si>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</si>
  <si>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</si>
  <si>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</si>
  <si>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</si>
  <si>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</si>
  <si>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</si>
  <si>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</si>
  <si>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</si>
  <si>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</si>
  <si>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</si>
  <si>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</si>
  <si>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</si>
  <si>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</si>
  <si>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</si>
  <si>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</si>
  <si>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</si>
  <si>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</si>
  <si>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</si>
  <si>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</si>
  <si>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</si>
  <si>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</si>
  <si>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</si>
  <si>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</si>
  <si>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</si>
  <si>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</si>
  <si>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</si>
  <si>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</si>
  <si>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</si>
  <si>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</si>
  <si>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</si>
  <si>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</si>
  <si>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</si>
  <si>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</si>
  <si>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</si>
  <si>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</si>
  <si>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</si>
  <si>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</si>
  <si>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</si>
  <si>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</si>
  <si>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</si>
  <si>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</si>
  <si>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</si>
  <si>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</si>
  <si>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</si>
  <si>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</si>
  <si>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</si>
  <si>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</si>
  <si>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</si>
  <si>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</si>
  <si>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</si>
  <si>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</si>
  <si>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</si>
  <si>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</si>
  <si>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</si>
  <si>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</si>
  <si>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</si>
  <si>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</si>
  <si>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</si>
  <si>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</si>
  <si>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</si>
  <si>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</si>
  <si>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</si>
  <si>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</si>
  <si>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</si>
  <si>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</si>
  <si>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</si>
  <si>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</si>
  <si>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</si>
  <si>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</si>
  <si>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</si>
  <si>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</si>
  <si>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</si>
  <si>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</si>
  <si>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</si>
  <si>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</si>
  <si>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</si>
  <si>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</si>
  <si>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</si>
  <si>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</si>
  <si>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</si>
  <si>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</si>
  <si>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</si>
  <si>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</si>
  <si>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</si>
  <si>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</si>
  <si>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</si>
  <si>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</si>
  <si>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</si>
  <si>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</si>
  <si>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</si>
  <si>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</si>
  <si>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</si>
  <si>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</si>
  <si>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</si>
  <si>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</si>
  <si>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</si>
  <si>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</si>
  <si>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</si>
  <si>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</si>
  <si>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</si>
  <si>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</si>
  <si>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</si>
  <si>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</si>
  <si>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</si>
  <si>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</si>
  <si>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</si>
  <si>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</si>
  <si>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</si>
  <si>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</si>
  <si>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</si>
  <si>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</si>
  <si>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</si>
  <si>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</si>
  <si>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</si>
  <si>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</si>
  <si>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</si>
  <si>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</si>
  <si>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</si>
  <si>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</si>
  <si>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</si>
  <si>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</si>
  <si>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</si>
  <si>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</si>
  <si>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</si>
  <si>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</si>
  <si>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</si>
  <si>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</si>
  <si>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</si>
  <si>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</si>
  <si>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</si>
  <si>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</si>
  <si>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</si>
  <si>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</si>
  <si>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</si>
  <si>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</si>
  <si>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</si>
  <si>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</si>
  <si>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</si>
  <si>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</si>
  <si>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</si>
  <si>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</si>
  <si>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</si>
  <si>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</si>
  <si>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</si>
  <si>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</si>
  <si>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</si>
  <si>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</si>
  <si>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</si>
  <si>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</si>
  <si>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</si>
  <si>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</si>
  <si>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</si>
  <si>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</si>
  <si>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</si>
  <si>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</si>
  <si>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</si>
  <si>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</si>
  <si>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</si>
  <si>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</si>
  <si>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</si>
  <si>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</si>
  <si>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</si>
  <si>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</si>
  <si>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</si>
  <si>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</si>
  <si>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</si>
  <si>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</si>
  <si>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</si>
  <si>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</si>
  <si>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</si>
  <si>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</si>
  <si>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</si>
  <si>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</si>
  <si>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</si>
  <si>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</si>
  <si>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</si>
  <si>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</si>
  <si>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</si>
  <si>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</si>
  <si>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</si>
  <si>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</si>
  <si>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</si>
  <si>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</si>
  <si>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</si>
  <si>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</si>
  <si>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</si>
  <si>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</si>
  <si>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</si>
  <si>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</si>
  <si>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</si>
  <si>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</si>
  <si>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</si>
  <si>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</si>
  <si>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</si>
  <si>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</si>
  <si>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</si>
  <si>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</si>
  <si>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</si>
  <si>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</si>
  <si>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</si>
  <si>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</si>
  <si>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</si>
  <si>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</si>
  <si>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</si>
  <si>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</si>
  <si>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</si>
  <si>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</si>
  <si>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</si>
  <si>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</si>
  <si>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</si>
  <si>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</si>
  <si>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</si>
  <si>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</si>
  <si>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</si>
  <si>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</si>
  <si>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</si>
  <si>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</si>
  <si>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</si>
  <si>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</si>
  <si>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</si>
  <si>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</si>
  <si>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</si>
  <si>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</si>
  <si>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</si>
  <si>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</si>
  <si>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</si>
  <si>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</si>
  <si>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</si>
  <si>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</si>
  <si>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</si>
  <si>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</si>
  <si>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</si>
  <si>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</si>
  <si>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</si>
  <si>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</si>
  <si>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</si>
  <si>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</si>
  <si>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</si>
  <si>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</si>
  <si>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</si>
  <si>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</si>
  <si>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</si>
  <si>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</si>
  <si>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</si>
  <si>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</si>
  <si>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</si>
  <si>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</si>
  <si>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</si>
  <si>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</si>
  <si>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</si>
  <si>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</si>
  <si>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</si>
  <si>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</si>
  <si>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</si>
  <si>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</si>
  <si>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</si>
  <si>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</si>
  <si>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</si>
  <si>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</si>
  <si>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</si>
  <si>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</si>
  <si>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</si>
  <si>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</si>
  <si>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</si>
  <si>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</si>
  <si>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</si>
  <si>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</si>
  <si>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</si>
  <si>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</si>
  <si>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</si>
  <si>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</si>
  <si>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</si>
  <si>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</si>
  <si>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</si>
  <si>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</si>
  <si>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</si>
  <si>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</si>
  <si>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</si>
  <si>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</si>
  <si>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</si>
  <si>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</si>
  <si>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</si>
  <si>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</si>
  <si>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</si>
  <si>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</si>
  <si>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</si>
  <si>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</si>
  <si>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</si>
  <si>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</si>
  <si>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</si>
  <si>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</si>
  <si>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</si>
  <si>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</si>
  <si>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</si>
  <si>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</si>
  <si>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</si>
  <si>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</si>
  <si>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</si>
  <si>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</si>
  <si>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</si>
  <si>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</si>
  <si>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</si>
  <si>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</si>
  <si>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</si>
  <si>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</si>
  <si>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</si>
  <si>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</si>
  <si>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</si>
  <si>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</si>
  <si>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</si>
  <si>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</si>
  <si>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</si>
  <si>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</si>
  <si>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</si>
  <si>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</si>
  <si>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</si>
  <si>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</si>
  <si>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</si>
  <si>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</si>
  <si>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</si>
  <si>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</si>
  <si>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</si>
  <si>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</si>
  <si>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</si>
  <si>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</si>
  <si>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</si>
  <si>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</si>
  <si>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</si>
  <si>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</si>
  <si>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</si>
  <si>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</si>
  <si>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</si>
  <si>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</si>
  <si>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</si>
  <si>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</si>
  <si>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</si>
  <si>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</si>
  <si>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</si>
  <si>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</si>
  <si>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</si>
  <si>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</si>
  <si>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</si>
  <si>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</si>
  <si>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</si>
  <si>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</si>
  <si>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</si>
  <si>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</si>
  <si>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</si>
  <si>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</si>
  <si>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</si>
  <si>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</si>
  <si>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</si>
  <si>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</si>
  <si>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</si>
  <si>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</si>
  <si>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</si>
  <si>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</si>
  <si>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</si>
  <si>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</si>
  <si>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</si>
  <si>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</si>
  <si>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</si>
  <si>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</si>
  <si>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</si>
  <si>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</si>
  <si>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</si>
  <si>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</si>
  <si>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</si>
  <si>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</si>
  <si>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</si>
  <si>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</si>
  <si>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</si>
  <si>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</si>
  <si>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</si>
  <si>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</si>
  <si>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</si>
  <si>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</si>
  <si>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</si>
  <si>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</si>
  <si>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</si>
  <si>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</si>
  <si>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</si>
  <si>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</si>
  <si>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</si>
  <si>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</si>
  <si>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</si>
  <si>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</si>
  <si>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</si>
  <si>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</si>
  <si>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</si>
  <si>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</si>
  <si>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</si>
  <si>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</si>
  <si>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</si>
  <si>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</si>
  <si>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</si>
  <si>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</si>
  <si>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</si>
  <si>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</si>
  <si>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</si>
  <si>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</si>
  <si>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</si>
  <si>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</si>
  <si>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</si>
  <si>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</si>
  <si>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</si>
  <si>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</si>
  <si>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</si>
  <si>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</si>
  <si>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</si>
  <si>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</si>
  <si>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</si>
  <si>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</si>
  <si>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</si>
  <si>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</si>
  <si>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</si>
  <si>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</si>
  <si>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</si>
  <si>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</si>
  <si>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</si>
  <si>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</si>
  <si>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</si>
  <si>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</si>
  <si>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</si>
  <si>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</si>
  <si>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</si>
  <si>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</si>
  <si>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</si>
  <si>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</si>
  <si>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</si>
  <si>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</si>
  <si>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</si>
  <si>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</si>
  <si>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</si>
  <si>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</si>
  <si>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</si>
  <si>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</si>
  <si>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</si>
  <si>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</si>
  <si>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</si>
  <si>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</si>
  <si>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</si>
  <si>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</si>
  <si>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</si>
  <si>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</si>
  <si>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</si>
  <si>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</si>
  <si>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</si>
  <si>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</si>
  <si>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</si>
  <si>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</si>
  <si>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</si>
  <si>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</si>
  <si>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</si>
  <si>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</si>
  <si>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</si>
  <si>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</si>
  <si>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</si>
  <si>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</si>
  <si>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</si>
  <si>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</si>
  <si>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</si>
  <si>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</si>
  <si>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</si>
  <si>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</si>
  <si>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</si>
  <si>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</si>
  <si>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</si>
  <si>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</si>
  <si>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</si>
  <si>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</si>
  <si>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</si>
  <si>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</si>
  <si>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</si>
  <si>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</si>
  <si>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</si>
  <si>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</si>
  <si>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</si>
  <si>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</si>
  <si>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</si>
  <si>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</si>
  <si>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</si>
  <si>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</si>
  <si>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</si>
  <si>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</si>
  <si>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</si>
  <si>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</si>
  <si>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</si>
  <si>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</si>
  <si>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</si>
  <si>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</si>
  <si>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</si>
  <si>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</si>
  <si>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</si>
  <si>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</si>
  <si>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</si>
  <si>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</si>
  <si>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</si>
  <si>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</si>
  <si>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</si>
  <si>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</si>
  <si>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</si>
  <si>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</si>
  <si>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</si>
  <si>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</si>
  <si>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</si>
  <si>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</si>
  <si>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</si>
  <si>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</si>
  <si>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</si>
  <si>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</si>
  <si>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</si>
  <si>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</si>
  <si>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</si>
  <si>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</si>
  <si>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</si>
  <si>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</si>
  <si>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</si>
  <si>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</si>
  <si>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</si>
  <si>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</si>
  <si>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</si>
  <si>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</si>
  <si>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</si>
  <si>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</si>
  <si>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</si>
  <si>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</si>
  <si>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</si>
  <si>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</si>
  <si>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</si>
  <si>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</si>
  <si>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</si>
  <si>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</si>
  <si>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</si>
  <si>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</si>
  <si>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</si>
  <si>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</si>
  <si>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</si>
  <si>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</si>
  <si>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</si>
  <si>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</si>
  <si>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</si>
  <si>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</si>
  <si>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</si>
  <si>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</si>
  <si>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</si>
  <si>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</si>
  <si>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</si>
  <si>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</si>
  <si>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</si>
  <si>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</si>
  <si>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</si>
  <si>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</si>
  <si>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</si>
  <si>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</si>
  <si>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</si>
  <si>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</si>
  <si>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</si>
  <si>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</si>
  <si>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</si>
  <si>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</si>
  <si>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</si>
  <si>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</si>
  <si>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</si>
  <si>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</si>
  <si>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</si>
  <si>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</si>
  <si>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</si>
  <si>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</si>
  <si>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</si>
  <si>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</si>
  <si>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</si>
  <si>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</si>
  <si>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</si>
  <si>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</si>
  <si>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</si>
  <si>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</si>
  <si>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</si>
  <si>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</si>
  <si>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</si>
  <si>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</si>
  <si>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</si>
  <si>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</si>
  <si>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</si>
  <si>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</si>
  <si>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</si>
  <si>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</si>
  <si>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</si>
  <si>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</si>
  <si>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</si>
  <si>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</si>
  <si>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</si>
  <si>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</si>
  <si>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</si>
  <si>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</si>
  <si>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</si>
  <si>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</si>
  <si>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</si>
  <si>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</si>
  <si>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</si>
  <si>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</si>
  <si>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</si>
  <si>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</si>
  <si>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</si>
  <si>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</si>
  <si>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</si>
  <si>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</si>
  <si>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</si>
  <si>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</si>
  <si>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</si>
  <si>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</si>
  <si>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</si>
  <si>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</si>
  <si>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</si>
  <si>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</si>
  <si>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</si>
  <si>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</si>
  <si>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</si>
  <si>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</si>
  <si>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</si>
  <si>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</si>
  <si>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</si>
  <si>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</si>
  <si>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</si>
  <si>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</si>
  <si>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</si>
  <si>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</si>
  <si>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</si>
  <si>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</si>
  <si>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</si>
  <si>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</si>
  <si>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</si>
  <si>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</si>
  <si>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</si>
  <si>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</si>
  <si>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</si>
  <si>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</si>
  <si>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</si>
  <si>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</si>
  <si>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</si>
  <si>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</si>
  <si>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</si>
  <si>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</si>
  <si>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</si>
  <si>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</si>
  <si>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</si>
  <si>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</si>
  <si>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</si>
  <si>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</si>
  <si>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</si>
  <si>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</si>
  <si>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</si>
  <si>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</si>
  <si>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</si>
  <si>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</si>
  <si>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</si>
  <si>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</si>
  <si>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</si>
  <si>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</si>
  <si>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</si>
  <si>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</si>
  <si>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</si>
  <si>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</si>
  <si>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</si>
  <si>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</si>
  <si>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</si>
  <si>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</si>
  <si>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</si>
  <si>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</si>
  <si>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</si>
  <si>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</si>
  <si>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</si>
  <si>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</si>
  <si>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</si>
  <si>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</si>
  <si>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</si>
  <si>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</si>
  <si>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</si>
  <si>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</si>
  <si>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</si>
  <si>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</si>
  <si>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</si>
  <si>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</si>
  <si>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</si>
  <si>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</si>
  <si>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</si>
  <si>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</si>
  <si>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</si>
  <si>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</si>
  <si>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</si>
  <si>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</si>
  <si>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</si>
  <si>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</si>
  <si>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</si>
  <si>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</si>
  <si>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</si>
  <si>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</si>
  <si>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</si>
  <si>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</si>
  <si>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</si>
  <si>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</si>
  <si>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</si>
  <si>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</si>
  <si>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</si>
  <si>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</si>
  <si>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</si>
  <si>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</si>
  <si>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</si>
  <si>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</si>
  <si>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</si>
  <si>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</si>
  <si>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</si>
  <si>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</si>
  <si>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</si>
  <si>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</si>
  <si>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</si>
  <si>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</si>
  <si>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</si>
  <si>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</si>
  <si>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</si>
  <si>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</si>
  <si>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</si>
  <si>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</si>
  <si>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</si>
  <si>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</si>
  <si>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</si>
  <si>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</si>
  <si>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</si>
  <si>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</si>
  <si>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</si>
  <si>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</si>
  <si>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</si>
  <si>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</si>
  <si>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</si>
  <si>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</si>
  <si>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</si>
  <si>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</si>
  <si>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</si>
  <si>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</si>
  <si>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</si>
  <si>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</si>
  <si>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</si>
  <si>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</si>
  <si>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</si>
  <si>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</si>
  <si>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</si>
  <si>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</si>
  <si>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</si>
  <si>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</si>
  <si>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</si>
  <si>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</si>
  <si>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</si>
  <si>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</si>
  <si>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</si>
  <si>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</si>
  <si>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</si>
  <si>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</si>
  <si>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</si>
  <si>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</si>
  <si>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</si>
  <si>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</si>
  <si>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</si>
  <si>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</si>
  <si>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</si>
  <si>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</si>
  <si>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</si>
  <si>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</si>
  <si>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</si>
  <si>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</si>
  <si>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</si>
  <si>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</si>
  <si>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</si>
  <si>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</si>
  <si>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</si>
  <si>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</si>
  <si>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</si>
  <si>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</si>
  <si>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</si>
  <si>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</si>
  <si>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</si>
  <si>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</si>
  <si>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</si>
  <si>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</si>
  <si>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</si>
  <si>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</si>
  <si>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</si>
  <si>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</si>
  <si>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</si>
  <si>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</si>
  <si>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</si>
  <si>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</si>
  <si>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</si>
  <si>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</si>
  <si>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</si>
  <si>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</si>
  <si>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</si>
  <si>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</si>
  <si>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</si>
  <si>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</si>
  <si>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</si>
  <si>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</si>
  <si>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</si>
  <si>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</si>
  <si>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</si>
  <si>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</si>
  <si>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</si>
  <si>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</si>
  <si>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</si>
  <si>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</si>
  <si>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</si>
  <si>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</si>
  <si>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</si>
  <si>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</si>
  <si>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</si>
  <si>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</si>
  <si>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</si>
  <si>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</si>
  <si>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</si>
  <si>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</si>
  <si>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</si>
  <si>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</si>
  <si>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</si>
  <si>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</si>
  <si>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</si>
  <si>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</si>
  <si>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</si>
  <si>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</si>
  <si>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</si>
  <si>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</si>
  <si>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</si>
  <si>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</si>
  <si>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</si>
  <si>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</si>
  <si>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</si>
  <si>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</si>
  <si>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</si>
  <si>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</si>
  <si>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</si>
  <si>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</si>
  <si>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</si>
  <si>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</si>
  <si>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</si>
  <si>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</si>
  <si>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</si>
  <si>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</si>
  <si>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</si>
  <si>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</si>
  <si>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</si>
  <si>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</si>
  <si>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</si>
  <si>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</si>
  <si>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</si>
  <si>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</si>
  <si>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</si>
  <si>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</si>
  <si>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</si>
  <si>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</si>
  <si>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</si>
  <si>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</si>
  <si>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</si>
  <si>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</si>
  <si>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</si>
  <si>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</si>
  <si>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</si>
  <si>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</si>
  <si>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</si>
  <si>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</si>
  <si>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</si>
  <si>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</si>
  <si>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</si>
  <si>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</si>
  <si>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</si>
  <si>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</si>
  <si>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</si>
  <si>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</si>
  <si>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</si>
  <si>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</si>
  <si>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</si>
  <si>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</si>
  <si>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</si>
  <si>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</si>
  <si>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</si>
  <si>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</si>
  <si>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</si>
  <si>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</si>
  <si>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</si>
  <si>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</si>
  <si>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</si>
  <si>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</si>
  <si>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</si>
  <si>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</si>
  <si>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</si>
  <si>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</si>
  <si>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</si>
  <si>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</si>
  <si>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</si>
  <si>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</si>
  <si>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</si>
  <si>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</si>
  <si>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</si>
  <si>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</si>
  <si>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</si>
  <si>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</si>
  <si>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</si>
  <si>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</si>
  <si>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</si>
  <si>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</si>
  <si>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</si>
  <si>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</si>
  <si>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</si>
  <si>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</si>
  <si>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</si>
  <si>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</si>
  <si>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</si>
  <si>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</si>
  <si>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</si>
  <si>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</si>
  <si>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</si>
  <si>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</si>
  <si>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</si>
  <si>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</si>
  <si>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</si>
  <si>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</si>
  <si>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</si>
  <si>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</si>
  <si>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</si>
  <si>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</si>
  <si>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</si>
  <si>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</si>
  <si>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</si>
  <si>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</si>
  <si>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</si>
  <si>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</si>
  <si>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</si>
  <si>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</si>
  <si>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</si>
  <si>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</si>
  <si>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</si>
  <si>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</si>
  <si>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</si>
  <si>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</si>
  <si>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</si>
  <si>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</si>
  <si>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</si>
  <si>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</si>
  <si>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</si>
  <si>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</si>
  <si>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</si>
  <si>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</si>
  <si>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</si>
  <si>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</si>
  <si>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</si>
  <si>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</si>
  <si>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</si>
  <si>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</si>
  <si>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</si>
  <si>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</si>
  <si>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</si>
  <si>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</si>
  <si>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</si>
  <si>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</si>
  <si>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</si>
  <si>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</si>
  <si>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</si>
  <si>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</si>
  <si>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</si>
  <si>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</si>
  <si>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</si>
  <si>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</si>
  <si>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</si>
  <si>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</si>
  <si>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</si>
  <si>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</si>
  <si>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</si>
  <si>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</si>
  <si>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</si>
  <si>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</si>
  <si>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</si>
  <si>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</si>
  <si>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</si>
  <si>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</si>
  <si>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</si>
  <si>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</si>
  <si>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</si>
  <si>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</si>
  <si>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</si>
  <si>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</si>
  <si>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</si>
  <si>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</si>
  <si>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</si>
  <si>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</si>
  <si>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</si>
  <si>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</si>
  <si>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</si>
  <si>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</si>
  <si>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</si>
  <si>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</si>
  <si>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</si>
  <si>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</si>
  <si>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</si>
  <si>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</si>
  <si>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</si>
  <si>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</si>
  <si>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</si>
  <si>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</si>
  <si>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</si>
  <si>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</si>
  <si>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</si>
  <si>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</si>
  <si>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</si>
  <si>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</si>
  <si>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</si>
  <si>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</si>
  <si>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</si>
  <si>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</si>
  <si>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</si>
  <si>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</si>
  <si>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</si>
  <si>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</si>
  <si>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</si>
  <si>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</si>
  <si>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</si>
  <si>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</si>
  <si>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</si>
  <si>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</si>
  <si>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</si>
  <si>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</si>
  <si>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</si>
  <si>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</si>
  <si>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</si>
  <si>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</si>
  <si>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</si>
  <si>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</si>
  <si>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</si>
  <si>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</si>
  <si>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</si>
  <si>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</si>
  <si>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</si>
  <si>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</si>
  <si>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</si>
  <si>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</si>
  <si>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</si>
  <si>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</si>
  <si>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</si>
  <si>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</si>
  <si>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</si>
  <si>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</si>
  <si>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</si>
  <si>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</si>
  <si>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</si>
  <si>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</si>
  <si>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</si>
  <si>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</si>
  <si>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</si>
  <si>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</si>
  <si>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</si>
  <si>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</si>
  <si>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</si>
  <si>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</si>
  <si>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</si>
  <si>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</si>
  <si>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</si>
  <si>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</si>
  <si>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</si>
  <si>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</si>
  <si>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</si>
  <si>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</si>
  <si>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</si>
  <si>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</si>
  <si>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</si>
  <si>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</si>
  <si>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</si>
  <si>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</si>
  <si>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</si>
  <si>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</si>
  <si>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</si>
  <si>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</si>
  <si>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</si>
  <si>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</si>
  <si>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</si>
  <si>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</si>
  <si>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</si>
  <si>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</si>
  <si>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</si>
  <si>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</si>
  <si>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</si>
  <si>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</si>
  <si>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</si>
  <si>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</si>
  <si>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</si>
  <si>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</si>
  <si>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</si>
  <si>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</si>
  <si>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</si>
  <si>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</si>
  <si>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</si>
  <si>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</si>
  <si>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</si>
  <si>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</si>
  <si>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</si>
  <si>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</si>
  <si>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</si>
  <si>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</si>
  <si>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</si>
  <si>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</si>
  <si>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</si>
  <si>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</si>
  <si>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</si>
  <si>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</si>
  <si>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</si>
  <si>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</si>
  <si>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</si>
  <si>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</si>
  <si>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</si>
  <si>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</si>
  <si>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</si>
  <si>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</si>
  <si>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</si>
  <si>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</si>
  <si>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</si>
  <si>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</si>
  <si>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</si>
  <si>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</si>
  <si>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</si>
  <si>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</si>
  <si>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</si>
  <si>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</si>
  <si>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</si>
  <si>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</si>
  <si>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</si>
  <si>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</si>
  <si>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</si>
  <si>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</si>
  <si>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</si>
  <si>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</si>
  <si>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</si>
  <si>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</si>
  <si>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</si>
  <si>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</si>
  <si>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</si>
  <si>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</si>
  <si>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</si>
  <si>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</si>
  <si>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</si>
  <si>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</si>
  <si>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</si>
  <si>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</si>
  <si>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</si>
  <si>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</si>
  <si>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</si>
  <si>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</si>
  <si>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</si>
  <si>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</si>
  <si>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</si>
  <si>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</si>
  <si>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</si>
  <si>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</si>
  <si>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</si>
  <si>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</si>
  <si>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</si>
  <si>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</si>
  <si>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</si>
  <si>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</si>
  <si>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</si>
  <si>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</si>
  <si>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</si>
  <si>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</si>
  <si>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</si>
  <si>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</si>
  <si>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</si>
  <si>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</si>
  <si>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</si>
  <si>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</si>
  <si>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</si>
  <si>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</si>
  <si>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</si>
  <si>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</si>
  <si>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</si>
  <si>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</si>
  <si>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</si>
  <si>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</si>
  <si>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</si>
  <si>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</si>
  <si>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</si>
  <si>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</si>
  <si>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</si>
  <si>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</si>
  <si>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</si>
  <si>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</si>
  <si>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</si>
  <si>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</si>
  <si>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</si>
  <si>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</si>
  <si>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</si>
  <si>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</si>
  <si>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</si>
  <si>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</si>
  <si>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</si>
  <si>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</si>
  <si>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</si>
  <si>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</si>
  <si>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</si>
  <si>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</si>
  <si>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</si>
  <si>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</si>
  <si>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</si>
  <si>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</si>
  <si>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</si>
  <si>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</si>
  <si>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</si>
  <si>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</si>
  <si>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</si>
  <si>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</si>
  <si>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</si>
  <si>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</si>
  <si>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</si>
  <si>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</si>
  <si>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</si>
  <si>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</si>
  <si>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</si>
  <si>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</si>
  <si>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</si>
  <si>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</si>
  <si>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</si>
  <si>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</si>
  <si>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</si>
  <si>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</si>
  <si>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</si>
  <si>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</si>
  <si>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</si>
  <si>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</si>
  <si>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</si>
  <si>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</si>
  <si>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</si>
  <si>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</si>
  <si>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</si>
  <si>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</si>
  <si>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</si>
  <si>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</si>
  <si>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</si>
  <si>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</si>
  <si>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</si>
  <si>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</si>
  <si>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</si>
  <si>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</si>
  <si>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</si>
  <si>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</si>
  <si>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</si>
  <si>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</si>
  <si>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</si>
  <si>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</si>
  <si>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</si>
  <si>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</si>
  <si>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</si>
  <si>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</si>
  <si>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</si>
  <si>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</si>
  <si>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</si>
  <si>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</si>
  <si>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</si>
  <si>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</si>
  <si>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</si>
  <si>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</si>
  <si>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</si>
  <si>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</si>
  <si>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</si>
  <si>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</si>
  <si>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</si>
  <si>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</si>
  <si>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</si>
  <si>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</si>
  <si>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</si>
  <si>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</si>
  <si>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</si>
  <si>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</si>
  <si>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</si>
  <si>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</si>
  <si>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</si>
  <si>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</si>
  <si>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</si>
  <si>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</si>
  <si>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</si>
  <si>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</si>
  <si>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</si>
  <si>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</si>
  <si>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</si>
  <si>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</si>
  <si>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</si>
  <si>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</si>
  <si>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</si>
  <si>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</si>
  <si>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</si>
  <si>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</si>
  <si>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</si>
  <si>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</si>
  <si>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</si>
  <si>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</si>
  <si>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</si>
  <si>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</si>
  <si>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</si>
  <si>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</si>
  <si>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</si>
  <si>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</si>
  <si>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</si>
  <si>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</si>
  <si>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</si>
  <si>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</si>
  <si>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</si>
  <si>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</si>
  <si>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</si>
  <si>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</si>
  <si>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</si>
  <si>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</si>
  <si>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</si>
  <si>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</si>
  <si>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</si>
  <si>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</si>
  <si>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</si>
  <si>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</si>
  <si>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</si>
  <si>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</si>
  <si>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</si>
  <si>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</si>
  <si>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</si>
  <si>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</si>
  <si>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</si>
  <si>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</si>
  <si>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</si>
  <si>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</si>
  <si>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</si>
  <si>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</si>
  <si>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</si>
  <si>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</si>
  <si>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</si>
  <si>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</si>
  <si>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</si>
  <si>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</si>
  <si>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</si>
  <si>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</si>
  <si>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</si>
  <si>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</si>
  <si>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</si>
  <si>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</si>
  <si>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</si>
  <si>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</si>
  <si>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</si>
  <si>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</si>
  <si>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</si>
  <si>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</si>
  <si>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</si>
  <si>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</si>
  <si>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</si>
  <si>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</si>
  <si>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</si>
  <si>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</si>
  <si>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</si>
  <si>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</si>
  <si>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</si>
  <si>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</si>
  <si>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</si>
  <si>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</si>
  <si>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</si>
  <si>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</si>
  <si>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</si>
  <si>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</si>
  <si>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</si>
  <si>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</si>
  <si>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</si>
  <si>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</si>
  <si>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</si>
  <si>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</si>
  <si>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</si>
  <si>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</si>
  <si>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</si>
  <si>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</si>
  <si>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</si>
  <si>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</si>
  <si>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</si>
  <si>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</si>
  <si>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</si>
  <si>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</si>
  <si>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</si>
  <si>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</si>
  <si>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</si>
  <si>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</si>
  <si>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</si>
  <si>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</si>
  <si>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</si>
  <si>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</si>
  <si>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</si>
  <si>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</si>
  <si>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</si>
  <si>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</si>
  <si>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</si>
  <si>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</si>
  <si>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</si>
  <si>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</si>
  <si>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</si>
  <si>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</si>
  <si>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</si>
  <si>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</si>
  <si>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</si>
  <si>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</si>
  <si>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</si>
  <si>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</si>
  <si>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</si>
  <si>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</si>
  <si>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</si>
  <si>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</si>
  <si>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</si>
  <si>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</si>
  <si>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</si>
  <si>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</si>
  <si>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</si>
  <si>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</si>
  <si>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</si>
  <si>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</si>
  <si>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</si>
  <si>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</si>
  <si>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</si>
  <si>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</si>
  <si>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</si>
  <si>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</si>
  <si>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</si>
  <si>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</si>
  <si>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</si>
  <si>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</si>
  <si>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</si>
  <si>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</si>
  <si>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</si>
  <si>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</si>
  <si>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</si>
  <si>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</si>
  <si>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</si>
  <si>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</si>
  <si>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</si>
  <si>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</si>
  <si>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</si>
  <si>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</si>
  <si>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</si>
  <si>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</si>
  <si>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</si>
  <si>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</si>
  <si>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</si>
  <si>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</si>
  <si>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</si>
  <si>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</si>
  <si>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</si>
  <si>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</si>
  <si>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</si>
  <si>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</si>
  <si>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</si>
  <si>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</si>
  <si>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</si>
  <si>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</si>
  <si>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</si>
  <si>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</si>
  <si>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</si>
  <si>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</si>
  <si>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</si>
  <si>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</si>
  <si>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</si>
  <si>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</si>
  <si>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</si>
  <si>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</si>
  <si>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</si>
  <si>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</si>
  <si>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</si>
  <si>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</si>
  <si>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</si>
  <si>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</si>
  <si>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</si>
  <si>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</si>
  <si>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</si>
  <si>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</si>
  <si>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</si>
  <si>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</si>
  <si>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</si>
  <si>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</si>
  <si>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</si>
  <si>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</si>
  <si>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</si>
  <si>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</si>
  <si>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</si>
  <si>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</si>
  <si>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</si>
  <si>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</si>
  <si>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</si>
  <si>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</si>
  <si>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</si>
  <si>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</si>
  <si>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</si>
  <si>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</si>
  <si>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</si>
  <si>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</si>
  <si>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</si>
  <si>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</si>
  <si>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</si>
  <si>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</si>
  <si>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</si>
  <si>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</si>
  <si>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</si>
  <si>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</si>
  <si>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</si>
  <si>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</si>
  <si>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</si>
  <si>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</si>
  <si>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</si>
  <si>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</si>
  <si>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</si>
  <si>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</si>
  <si>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</si>
  <si>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</si>
  <si>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</si>
  <si>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</si>
  <si>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</si>
  <si>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</si>
  <si>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</si>
  <si>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</si>
  <si>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</si>
  <si>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</si>
  <si>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</si>
  <si>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</si>
  <si>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</si>
  <si>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</si>
  <si>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</si>
  <si>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</si>
  <si>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</si>
  <si>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</si>
  <si>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</si>
  <si>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</si>
  <si>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</si>
  <si>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</si>
  <si>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</si>
  <si>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</si>
  <si>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</si>
  <si>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</si>
  <si>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</si>
  <si>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</si>
  <si>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</si>
  <si>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</si>
  <si>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</si>
  <si>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</si>
  <si>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</si>
  <si>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</si>
  <si>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</si>
  <si>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</si>
  <si>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</si>
  <si>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</si>
  <si>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</si>
  <si>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</si>
  <si>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</si>
  <si>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</si>
  <si>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</si>
  <si>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</si>
  <si>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</si>
  <si>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</si>
  <si>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</si>
  <si>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</si>
  <si>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</si>
  <si>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</si>
  <si>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</si>
  <si>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</si>
  <si>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</si>
  <si>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</si>
  <si>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</si>
  <si>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</si>
  <si>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</si>
  <si>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</si>
  <si>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</si>
  <si>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</si>
  <si>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</si>
  <si>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</si>
  <si>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</si>
  <si>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</si>
  <si>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</si>
  <si>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</si>
  <si>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</si>
  <si>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</si>
  <si>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</si>
  <si>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</si>
  <si>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</si>
  <si>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</si>
  <si>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</si>
  <si>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</si>
  <si>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</si>
  <si>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</si>
  <si>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</si>
  <si>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</si>
  <si>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</si>
  <si>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</si>
  <si>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</si>
  <si>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</si>
  <si>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</si>
  <si>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</si>
  <si>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</si>
  <si>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</si>
  <si>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</si>
  <si>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</si>
  <si>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</si>
  <si>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</si>
  <si>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</si>
  <si>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</si>
  <si>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</si>
  <si>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</si>
  <si>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</si>
  <si>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</si>
  <si>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</si>
  <si>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</si>
  <si>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</si>
  <si>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</si>
  <si>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</si>
  <si>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</si>
  <si>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</si>
  <si>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</si>
  <si>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</si>
  <si>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</si>
  <si>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</si>
  <si>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</si>
  <si>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</si>
  <si>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</si>
  <si>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</si>
  <si>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</si>
  <si>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</si>
  <si>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</si>
  <si>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</si>
  <si>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</si>
  <si>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</si>
  <si>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</si>
  <si>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</si>
  <si>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</si>
  <si>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</si>
  <si>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</si>
  <si>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</si>
  <si>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شفن 6392 تا سر به سر 4040 پایانی 3860</t>
  </si>
  <si>
    <t>زبینا 340 تا سر به سر 154.8 پایانی 152</t>
  </si>
  <si>
    <t>19/4/1397</t>
  </si>
  <si>
    <t>زبینا</t>
  </si>
  <si>
    <t>بیستم همه پول مبین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</si>
</sst>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8" workbookViewId="0">
      <selection activeCell="E47" sqref="E4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3855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3946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3970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3978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3979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3980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3981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-1099727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3870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3855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3862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8" sqref="B18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98564.305841271474</v>
      </c>
      <c r="C2" s="91">
        <f>$S2/(1+($AC$3-$O2+$P2)/36500)^$N2</f>
        <v>98742.582946117152</v>
      </c>
      <c r="D2" s="91">
        <f>$S2/(1+($AC$4-$O2+$P2)/36500)^$N2</f>
        <v>98772.328556628388</v>
      </c>
      <c r="E2" s="91">
        <f>$S2/(1+($AC$5-$O2+$P2)/36500)^$N2</f>
        <v>98802.083535258178</v>
      </c>
      <c r="F2" s="91">
        <f>$S2/(1+($AC$6-$O2+$P2)/36500)^$N2</f>
        <v>98831.847885085866</v>
      </c>
      <c r="G2" s="91">
        <f>$S2/(1+($AC$7-$O2+$P2)/36500)^$N2</f>
        <v>98861.621609190523</v>
      </c>
      <c r="H2" s="91">
        <f>$S2/(1+($AC$8-$O2+$P2)/36500)^$N2</f>
        <v>98891.404710653631</v>
      </c>
      <c r="I2" s="91">
        <f>$S2/(1+($AC$9-$O2+$P2)/36500)^$N2</f>
        <v>98921.197192556661</v>
      </c>
      <c r="J2" s="91">
        <f>$S2/(1+($AC$10-$O2+$P2)/36500)^$N2</f>
        <v>98950.999057982553</v>
      </c>
      <c r="K2" s="91">
        <f>$S2/(1+($AC$11-$O2+$P2)/36500)^$N2</f>
        <v>98980.810310016226</v>
      </c>
      <c r="L2" s="91">
        <f>$S2/(1+($AC$5-$O2+$P2)/36500)^$N2</f>
        <v>98802.083535258178</v>
      </c>
      <c r="M2" s="90" t="s">
        <v>1000</v>
      </c>
      <c r="N2" s="90">
        <f>132-$AD$19</f>
        <v>22</v>
      </c>
      <c r="O2" s="90">
        <v>0</v>
      </c>
      <c r="P2" s="90">
        <v>0</v>
      </c>
      <c r="Q2" s="90">
        <v>0</v>
      </c>
      <c r="R2" s="90">
        <f t="shared" ref="R2:R31" si="0">N2/30.5</f>
        <v>0.72131147540983609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87223.359375000015</v>
      </c>
      <c r="AA2" s="3">
        <f t="shared" ref="AA2:AA49" si="1">Y2+AA1*(1+$AC$2/1200)</f>
        <v>1185</v>
      </c>
      <c r="AB2" t="s">
        <v>61</v>
      </c>
      <c r="AC2">
        <v>24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96322.607319986666</v>
      </c>
      <c r="C3" s="93">
        <f t="shared" ref="C3:C31" si="3">$S3/(1+($AC$3-$O3+$P3)/36500)^$N3</f>
        <v>96774.651552524592</v>
      </c>
      <c r="D3" s="93">
        <f t="shared" ref="D3:D31" si="4">$S3/(1+($AC$4-$O3+$P3)/36500)^$N3</f>
        <v>96850.201863545619</v>
      </c>
      <c r="E3" s="93">
        <f t="shared" ref="E3:E31" si="5">$S3/(1+($AC$5-$O3+$P3)/36500)^$N3</f>
        <v>96925.812190971512</v>
      </c>
      <c r="F3" s="93">
        <f t="shared" ref="F3:F31" si="6">$S3/(1+($AC$6-$O3+$P3)/36500)^$N3</f>
        <v>97001.482583303019</v>
      </c>
      <c r="G3" s="93">
        <f t="shared" ref="G3:G31" si="7">$S3/(1+($AC$7-$O3+$P3)/36500)^$N3</f>
        <v>97077.21308907721</v>
      </c>
      <c r="H3" s="93">
        <f t="shared" ref="H3:H31" si="8">$S3/(1+($AC$8-$O3+$P3)/36500)^$N3</f>
        <v>97153.003756874692</v>
      </c>
      <c r="I3" s="93">
        <f t="shared" ref="I3:I31" si="9">$S3/(1+($AC$9-$O3+$P3)/36500)^$N3</f>
        <v>97228.854635313066</v>
      </c>
      <c r="J3" s="93">
        <f t="shared" ref="J3:J31" si="10">$S3/(1+($AC$10-$O3+$P3)/36500)^$N3</f>
        <v>97304.765773051084</v>
      </c>
      <c r="K3" s="93">
        <f t="shared" ref="K3:K31" si="11">$S3/(1+($AC$11-$O3+$P3)/36500)^$N3</f>
        <v>97380.737218789785</v>
      </c>
      <c r="L3" s="93">
        <f t="shared" ref="L3:L31" si="12">$S3/(1+($AC$5-$O3+$P3)/36500)^$N3</f>
        <v>96925.812190971512</v>
      </c>
      <c r="M3" s="92" t="s">
        <v>1001</v>
      </c>
      <c r="N3" s="92">
        <f>167-$AD$19</f>
        <v>57</v>
      </c>
      <c r="O3" s="92">
        <v>0</v>
      </c>
      <c r="P3" s="92">
        <v>0</v>
      </c>
      <c r="Q3" s="92">
        <v>0</v>
      </c>
      <c r="R3" s="92">
        <f t="shared" si="0"/>
        <v>1.8688524590163935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88981.455212402361</v>
      </c>
      <c r="AA3" s="3">
        <f t="shared" si="1"/>
        <v>2393.6999999999998</v>
      </c>
      <c r="AC3">
        <v>21</v>
      </c>
    </row>
    <row r="4" spans="1:39">
      <c r="A4" s="94" t="s">
        <v>972</v>
      </c>
      <c r="B4" s="95">
        <f t="shared" si="2"/>
        <v>94503.873562819776</v>
      </c>
      <c r="C4" s="95">
        <f t="shared" si="3"/>
        <v>95173.82554988873</v>
      </c>
      <c r="D4" s="95">
        <f t="shared" si="4"/>
        <v>95285.950429870747</v>
      </c>
      <c r="E4" s="95">
        <f t="shared" si="5"/>
        <v>95398.208942693964</v>
      </c>
      <c r="F4" s="95">
        <f t="shared" si="6"/>
        <v>95510.601249460204</v>
      </c>
      <c r="G4" s="95">
        <f t="shared" si="7"/>
        <v>95623.127511462473</v>
      </c>
      <c r="H4" s="95">
        <f t="shared" si="8"/>
        <v>95735.787890195745</v>
      </c>
      <c r="I4" s="95">
        <f t="shared" si="9"/>
        <v>95848.582547347658</v>
      </c>
      <c r="J4" s="95">
        <f t="shared" si="10"/>
        <v>95961.511644804836</v>
      </c>
      <c r="K4" s="95">
        <f t="shared" si="11"/>
        <v>96074.57534465444</v>
      </c>
      <c r="L4" s="95">
        <f t="shared" si="12"/>
        <v>95398.208942693964</v>
      </c>
      <c r="M4" s="94" t="s">
        <v>1002</v>
      </c>
      <c r="N4" s="94">
        <f>196-$AD$19</f>
        <v>86</v>
      </c>
      <c r="O4" s="94">
        <v>0</v>
      </c>
      <c r="P4" s="94">
        <v>0</v>
      </c>
      <c r="Q4" s="94">
        <v>0</v>
      </c>
      <c r="R4" s="94">
        <f t="shared" si="0"/>
        <v>2.819672131147541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90774.987669027352</v>
      </c>
      <c r="AA4" s="3">
        <f t="shared" si="1"/>
        <v>3626.5740000000001</v>
      </c>
      <c r="AC4">
        <v>20.5</v>
      </c>
    </row>
    <row r="5" spans="1:39">
      <c r="A5" s="90" t="s">
        <v>973</v>
      </c>
      <c r="B5" s="91">
        <f t="shared" si="2"/>
        <v>72415.978072718455</v>
      </c>
      <c r="C5" s="91">
        <f t="shared" si="3"/>
        <v>75396.305059654784</v>
      </c>
      <c r="D5" s="91">
        <f t="shared" si="4"/>
        <v>75904.841873657395</v>
      </c>
      <c r="E5" s="91">
        <f t="shared" si="5"/>
        <v>76416.815725434193</v>
      </c>
      <c r="F5" s="91">
        <f t="shared" si="6"/>
        <v>76932.24989237127</v>
      </c>
      <c r="G5" s="91">
        <f t="shared" si="7"/>
        <v>77451.167809798382</v>
      </c>
      <c r="H5" s="91">
        <f t="shared" si="8"/>
        <v>77973.593072112388</v>
      </c>
      <c r="I5" s="91">
        <f t="shared" si="9"/>
        <v>78499.549433814434</v>
      </c>
      <c r="J5" s="91">
        <f t="shared" si="10"/>
        <v>79029.060810626965</v>
      </c>
      <c r="K5" s="91">
        <f t="shared" si="11"/>
        <v>79562.151280596532</v>
      </c>
      <c r="L5" s="91">
        <f t="shared" si="12"/>
        <v>76416.815725434193</v>
      </c>
      <c r="M5" s="90" t="s">
        <v>1003</v>
      </c>
      <c r="N5" s="90">
        <f>601-$AD$19</f>
        <v>491</v>
      </c>
      <c r="O5" s="90">
        <v>0</v>
      </c>
      <c r="P5" s="90">
        <v>0</v>
      </c>
      <c r="Q5" s="90">
        <v>0</v>
      </c>
      <c r="R5" s="90">
        <f t="shared" si="0"/>
        <v>16.098360655737704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5"/>
        <v>1185</v>
      </c>
      <c r="Z5" s="3">
        <f t="shared" si="14"/>
        <v>92604.671014231193</v>
      </c>
      <c r="AA5" s="3">
        <f t="shared" si="1"/>
        <v>4884.1054800000002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89898.804488582333</v>
      </c>
      <c r="C6" s="93">
        <f t="shared" si="3"/>
        <v>91103.07053401506</v>
      </c>
      <c r="D6" s="93">
        <f t="shared" si="4"/>
        <v>91305.353843067671</v>
      </c>
      <c r="E6" s="93">
        <f t="shared" si="5"/>
        <v>91508.089076346587</v>
      </c>
      <c r="F6" s="93">
        <f t="shared" si="6"/>
        <v>91711.277249715335</v>
      </c>
      <c r="G6" s="93">
        <f t="shared" si="7"/>
        <v>91914.919381325177</v>
      </c>
      <c r="H6" s="93">
        <f t="shared" si="8"/>
        <v>92119.016491639763</v>
      </c>
      <c r="I6" s="93">
        <f t="shared" si="9"/>
        <v>92323.56960342305</v>
      </c>
      <c r="J6" s="93">
        <f t="shared" si="10"/>
        <v>92528.579741755399</v>
      </c>
      <c r="K6" s="93">
        <f t="shared" si="11"/>
        <v>92734.047934041417</v>
      </c>
      <c r="L6" s="93">
        <f t="shared" si="12"/>
        <v>91508.089076346587</v>
      </c>
      <c r="M6" s="92" t="s">
        <v>1004</v>
      </c>
      <c r="N6" s="92">
        <f>272-$AD$19</f>
        <v>162</v>
      </c>
      <c r="O6" s="92">
        <v>0</v>
      </c>
      <c r="P6" s="92">
        <v>0</v>
      </c>
      <c r="Q6" s="92">
        <v>0</v>
      </c>
      <c r="R6" s="92">
        <f t="shared" si="0"/>
        <v>5.3114754098360653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94471.233914361801</v>
      </c>
      <c r="AA6" s="3">
        <f t="shared" si="1"/>
        <v>6166.7875896000005</v>
      </c>
      <c r="AC6">
        <v>19.5</v>
      </c>
    </row>
    <row r="7" spans="1:39">
      <c r="A7" s="94" t="s">
        <v>975</v>
      </c>
      <c r="B7" s="95">
        <f t="shared" si="2"/>
        <v>73761.12824489281</v>
      </c>
      <c r="C7" s="95">
        <f t="shared" si="3"/>
        <v>76620.389734697397</v>
      </c>
      <c r="D7" s="95">
        <f t="shared" si="4"/>
        <v>77107.618429717942</v>
      </c>
      <c r="E7" s="95">
        <f t="shared" si="5"/>
        <v>77597.952144077091</v>
      </c>
      <c r="F7" s="95">
        <f t="shared" si="6"/>
        <v>78091.410708424432</v>
      </c>
      <c r="G7" s="95">
        <f t="shared" si="7"/>
        <v>78588.014080311346</v>
      </c>
      <c r="H7" s="95">
        <f t="shared" si="8"/>
        <v>79087.782345052095</v>
      </c>
      <c r="I7" s="95">
        <f t="shared" si="9"/>
        <v>79590.735716501003</v>
      </c>
      <c r="J7" s="95">
        <f t="shared" si="10"/>
        <v>80096.894537903849</v>
      </c>
      <c r="K7" s="95">
        <f t="shared" si="11"/>
        <v>80606.2792827339</v>
      </c>
      <c r="L7" s="95">
        <f t="shared" si="12"/>
        <v>77597.952144077091</v>
      </c>
      <c r="M7" s="94" t="s">
        <v>1005</v>
      </c>
      <c r="N7" s="94">
        <f>573-$AD$19</f>
        <v>463</v>
      </c>
      <c r="O7" s="94">
        <v>0</v>
      </c>
      <c r="P7" s="94">
        <v>0</v>
      </c>
      <c r="Q7" s="94">
        <v>0</v>
      </c>
      <c r="R7" s="94">
        <f t="shared" si="0"/>
        <v>15.180327868852459</v>
      </c>
      <c r="S7" s="95">
        <v>100000</v>
      </c>
      <c r="T7" s="95">
        <v>73600</v>
      </c>
      <c r="U7" s="95">
        <f t="shared" si="13"/>
        <v>99999.999999999985</v>
      </c>
      <c r="W7">
        <v>97</v>
      </c>
      <c r="X7">
        <v>6</v>
      </c>
      <c r="Y7">
        <f t="shared" si="15"/>
        <v>1185</v>
      </c>
      <c r="Z7" s="3">
        <f t="shared" si="14"/>
        <v>96375.419722948165</v>
      </c>
      <c r="AA7" s="3">
        <f t="shared" si="1"/>
        <v>7475.1233413920008</v>
      </c>
      <c r="AC7">
        <v>19</v>
      </c>
    </row>
    <row r="8" spans="1:39">
      <c r="A8" s="90" t="s">
        <v>976</v>
      </c>
      <c r="B8" s="91">
        <f t="shared" si="2"/>
        <v>89075.30974479219</v>
      </c>
      <c r="C8" s="91">
        <f t="shared" si="3"/>
        <v>90372.410796611162</v>
      </c>
      <c r="D8" s="91">
        <f t="shared" si="4"/>
        <v>90590.433737190149</v>
      </c>
      <c r="E8" s="91">
        <f t="shared" si="5"/>
        <v>90808.985652670541</v>
      </c>
      <c r="F8" s="91">
        <f t="shared" si="6"/>
        <v>91028.067833743422</v>
      </c>
      <c r="G8" s="91">
        <f t="shared" si="7"/>
        <v>91247.681574256407</v>
      </c>
      <c r="H8" s="91">
        <f t="shared" si="8"/>
        <v>91467.828171242276</v>
      </c>
      <c r="I8" s="91">
        <f t="shared" si="9"/>
        <v>91688.508924908325</v>
      </c>
      <c r="J8" s="91">
        <f t="shared" si="10"/>
        <v>91909.725138655675</v>
      </c>
      <c r="K8" s="91">
        <f t="shared" si="11"/>
        <v>92131.47811909017</v>
      </c>
      <c r="L8" s="91">
        <f t="shared" si="12"/>
        <v>90808.985652670541</v>
      </c>
      <c r="M8" s="90" t="s">
        <v>1007</v>
      </c>
      <c r="N8" s="90">
        <f>286-$AD$19</f>
        <v>176</v>
      </c>
      <c r="O8" s="90">
        <v>0</v>
      </c>
      <c r="P8" s="90">
        <v>0</v>
      </c>
      <c r="Q8" s="90">
        <v>0</v>
      </c>
      <c r="R8" s="90">
        <f t="shared" si="0"/>
        <v>5.7704918032786887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98317.98677673885</v>
      </c>
      <c r="AA8" s="3">
        <f t="shared" si="1"/>
        <v>8809.6258082198401</v>
      </c>
      <c r="AC8">
        <v>18.5</v>
      </c>
    </row>
    <row r="9" spans="1:39">
      <c r="A9" s="92" t="s">
        <v>992</v>
      </c>
      <c r="B9" s="93">
        <f t="shared" si="2"/>
        <v>78979.86641823822</v>
      </c>
      <c r="C9" s="93">
        <f t="shared" si="3"/>
        <v>81343.557517258683</v>
      </c>
      <c r="D9" s="93">
        <f t="shared" si="4"/>
        <v>81744.346381373209</v>
      </c>
      <c r="E9" s="93">
        <f t="shared" si="5"/>
        <v>82147.115505143156</v>
      </c>
      <c r="F9" s="93">
        <f t="shared" si="6"/>
        <v>82551.874700165383</v>
      </c>
      <c r="G9" s="93">
        <f t="shared" si="7"/>
        <v>82958.633826766396</v>
      </c>
      <c r="H9" s="93">
        <f t="shared" si="8"/>
        <v>83367.402794283596</v>
      </c>
      <c r="I9" s="93">
        <f t="shared" si="9"/>
        <v>83778.191561274871</v>
      </c>
      <c r="J9" s="93">
        <f t="shared" si="10"/>
        <v>84191.01013578572</v>
      </c>
      <c r="K9" s="93">
        <f t="shared" si="11"/>
        <v>84605.868575600893</v>
      </c>
      <c r="L9" s="93">
        <f t="shared" si="12"/>
        <v>82147.115505143156</v>
      </c>
      <c r="M9" s="92" t="s">
        <v>1006</v>
      </c>
      <c r="N9" s="92">
        <f>469-$AD$19</f>
        <v>359</v>
      </c>
      <c r="O9" s="92">
        <v>0</v>
      </c>
      <c r="P9" s="92">
        <v>0</v>
      </c>
      <c r="Q9" s="92">
        <v>0</v>
      </c>
      <c r="R9" s="92">
        <f t="shared" si="0"/>
        <v>11.770491803278688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100299.70869770751</v>
      </c>
      <c r="AA9" s="3">
        <f t="shared" si="1"/>
        <v>10170.818324384238</v>
      </c>
      <c r="AC9">
        <v>18</v>
      </c>
    </row>
    <row r="10" spans="1:39">
      <c r="A10" s="94" t="s">
        <v>993</v>
      </c>
      <c r="B10" s="95">
        <f t="shared" si="2"/>
        <v>78979.86641823822</v>
      </c>
      <c r="C10" s="95">
        <f t="shared" si="3"/>
        <v>81343.557517258683</v>
      </c>
      <c r="D10" s="95">
        <f t="shared" si="4"/>
        <v>81744.346381373209</v>
      </c>
      <c r="E10" s="95">
        <f t="shared" si="5"/>
        <v>82147.115505143156</v>
      </c>
      <c r="F10" s="95">
        <f t="shared" si="6"/>
        <v>82551.874700165383</v>
      </c>
      <c r="G10" s="95">
        <f t="shared" si="7"/>
        <v>82958.633826766396</v>
      </c>
      <c r="H10" s="95">
        <f t="shared" si="8"/>
        <v>83367.402794283596</v>
      </c>
      <c r="I10" s="95">
        <f t="shared" si="9"/>
        <v>83778.191561274871</v>
      </c>
      <c r="J10" s="95">
        <f t="shared" si="10"/>
        <v>84191.01013578572</v>
      </c>
      <c r="K10" s="95">
        <f t="shared" si="11"/>
        <v>84605.868575600893</v>
      </c>
      <c r="L10" s="95">
        <f t="shared" si="12"/>
        <v>82147.115505143156</v>
      </c>
      <c r="M10" s="94" t="s">
        <v>1006</v>
      </c>
      <c r="N10" s="94">
        <f>469-$AD$19</f>
        <v>359</v>
      </c>
      <c r="O10" s="94">
        <v>0</v>
      </c>
      <c r="P10" s="94">
        <v>0</v>
      </c>
      <c r="Q10" s="94">
        <v>0</v>
      </c>
      <c r="R10" s="94">
        <f t="shared" si="0"/>
        <v>11.770491803278688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102321.37470114569</v>
      </c>
      <c r="AA10" s="3">
        <f t="shared" si="1"/>
        <v>11559.234690871923</v>
      </c>
      <c r="AC10">
        <v>17.5</v>
      </c>
      <c r="AF10" s="26"/>
    </row>
    <row r="11" spans="1:39">
      <c r="A11" s="90" t="s">
        <v>994</v>
      </c>
      <c r="B11" s="91">
        <f t="shared" si="2"/>
        <v>71423.238471200704</v>
      </c>
      <c r="C11" s="91">
        <f t="shared" si="3"/>
        <v>74491.092306776816</v>
      </c>
      <c r="D11" s="91">
        <f t="shared" si="4"/>
        <v>75015.087917783894</v>
      </c>
      <c r="E11" s="91">
        <f t="shared" si="5"/>
        <v>75542.776741511669</v>
      </c>
      <c r="F11" s="91">
        <f t="shared" si="6"/>
        <v>76074.184859481145</v>
      </c>
      <c r="G11" s="91">
        <f t="shared" si="7"/>
        <v>76609.338537736839</v>
      </c>
      <c r="H11" s="91">
        <f t="shared" si="8"/>
        <v>77148.26422820572</v>
      </c>
      <c r="I11" s="91">
        <f t="shared" si="9"/>
        <v>77690.988569969661</v>
      </c>
      <c r="J11" s="91">
        <f t="shared" si="10"/>
        <v>78237.538390620859</v>
      </c>
      <c r="K11" s="91">
        <f t="shared" si="11"/>
        <v>78787.940707605507</v>
      </c>
      <c r="L11" s="91">
        <f t="shared" si="12"/>
        <v>75542.776741511669</v>
      </c>
      <c r="M11" s="90" t="s">
        <v>1010</v>
      </c>
      <c r="N11" s="90">
        <f>622-$AD$19</f>
        <v>512</v>
      </c>
      <c r="O11" s="90">
        <v>0</v>
      </c>
      <c r="P11" s="90">
        <v>0</v>
      </c>
      <c r="Q11" s="90">
        <v>0</v>
      </c>
      <c r="R11" s="90">
        <f t="shared" si="0"/>
        <v>16.78688524590164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104383.78990996566</v>
      </c>
      <c r="AA11" s="3">
        <f t="shared" si="1"/>
        <v>12975.419384689361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90670.29355807339</v>
      </c>
      <c r="C12" s="93">
        <f>$S12/(1+($AC$3-$O12+$P12)/36500)^$N12</f>
        <v>91786.828785265461</v>
      </c>
      <c r="D12" s="93">
        <f t="shared" si="4"/>
        <v>91974.259168066987</v>
      </c>
      <c r="E12" s="93">
        <f t="shared" si="5"/>
        <v>92162.074861114903</v>
      </c>
      <c r="F12" s="93">
        <f t="shared" si="6"/>
        <v>92350.27666180706</v>
      </c>
      <c r="G12" s="93">
        <f t="shared" si="7"/>
        <v>92538.865369193591</v>
      </c>
      <c r="H12" s="93">
        <f t="shared" si="8"/>
        <v>92727.841783998098</v>
      </c>
      <c r="I12" s="93">
        <f t="shared" si="9"/>
        <v>92917.206708605387</v>
      </c>
      <c r="J12" s="93">
        <f t="shared" si="10"/>
        <v>93106.960947074724</v>
      </c>
      <c r="K12" s="93">
        <f t="shared" si="11"/>
        <v>93297.10530514596</v>
      </c>
      <c r="L12" s="93">
        <f t="shared" si="12"/>
        <v>92162.074861114903</v>
      </c>
      <c r="M12" s="92" t="s">
        <v>1011</v>
      </c>
      <c r="N12" s="92">
        <f>259-$AD$19</f>
        <v>149</v>
      </c>
      <c r="O12" s="92">
        <v>0</v>
      </c>
      <c r="P12" s="92">
        <v>0</v>
      </c>
      <c r="Q12" s="92">
        <v>0</v>
      </c>
      <c r="R12" s="92">
        <f t="shared" si="0"/>
        <v>4.8852459016393439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106487.77567533842</v>
      </c>
      <c r="AA12" s="3">
        <f t="shared" si="1"/>
        <v>14419.927772383149</v>
      </c>
      <c r="AF12" s="26"/>
    </row>
    <row r="13" spans="1:39">
      <c r="A13" s="94" t="s">
        <v>996</v>
      </c>
      <c r="B13" s="95">
        <f t="shared" si="2"/>
        <v>68525.931847092652</v>
      </c>
      <c r="C13" s="95">
        <f t="shared" si="3"/>
        <v>71840.141930677331</v>
      </c>
      <c r="D13" s="95">
        <f t="shared" si="4"/>
        <v>72407.916450846518</v>
      </c>
      <c r="E13" s="95">
        <f t="shared" si="5"/>
        <v>72980.186131690294</v>
      </c>
      <c r="F13" s="95">
        <f t="shared" si="6"/>
        <v>73556.986624395722</v>
      </c>
      <c r="G13" s="95">
        <f t="shared" si="7"/>
        <v>74138.353863366283</v>
      </c>
      <c r="H13" s="95">
        <f t="shared" si="8"/>
        <v>74724.324068531103</v>
      </c>
      <c r="I13" s="95">
        <f t="shared" si="9"/>
        <v>75314.933747567775</v>
      </c>
      <c r="J13" s="95">
        <f t="shared" si="10"/>
        <v>75910.219698223824</v>
      </c>
      <c r="K13" s="95">
        <f t="shared" si="11"/>
        <v>76510.219010632922</v>
      </c>
      <c r="L13" s="95">
        <f t="shared" si="12"/>
        <v>72980.186131690294</v>
      </c>
      <c r="M13" s="94" t="s">
        <v>1012</v>
      </c>
      <c r="N13" s="94">
        <f>685-$AD$19</f>
        <v>575</v>
      </c>
      <c r="O13" s="94">
        <v>0</v>
      </c>
      <c r="P13" s="94">
        <v>0</v>
      </c>
      <c r="Q13" s="94">
        <v>0</v>
      </c>
      <c r="R13" s="94">
        <f t="shared" si="0"/>
        <v>18.852459016393443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108634.16990379446</v>
      </c>
      <c r="AA13" s="3">
        <f t="shared" si="1"/>
        <v>15893.326327830813</v>
      </c>
      <c r="AF13" s="26"/>
    </row>
    <row r="14" spans="1:39">
      <c r="A14" s="90" t="s">
        <v>997</v>
      </c>
      <c r="B14" s="91">
        <f t="shared" si="2"/>
        <v>69798.823154725949</v>
      </c>
      <c r="C14" s="91">
        <f t="shared" si="3"/>
        <v>73006.491086921131</v>
      </c>
      <c r="D14" s="91">
        <f t="shared" si="4"/>
        <v>73555.281259605763</v>
      </c>
      <c r="E14" s="91">
        <f t="shared" si="5"/>
        <v>74108.204289227651</v>
      </c>
      <c r="F14" s="91">
        <f t="shared" si="6"/>
        <v>74665.291356952381</v>
      </c>
      <c r="G14" s="91">
        <f t="shared" si="7"/>
        <v>75226.573879603078</v>
      </c>
      <c r="H14" s="91">
        <f t="shared" si="8"/>
        <v>75792.083511498262</v>
      </c>
      <c r="I14" s="91">
        <f t="shared" si="9"/>
        <v>76361.852146202451</v>
      </c>
      <c r="J14" s="91">
        <f t="shared" si="10"/>
        <v>76935.911918367972</v>
      </c>
      <c r="K14" s="91">
        <f t="shared" si="11"/>
        <v>77514.295205567963</v>
      </c>
      <c r="L14" s="91">
        <f t="shared" si="12"/>
        <v>74108.204289227651</v>
      </c>
      <c r="M14" s="90" t="s">
        <v>1013</v>
      </c>
      <c r="N14" s="90">
        <f>657-$AD$19</f>
        <v>547</v>
      </c>
      <c r="O14" s="90">
        <v>0</v>
      </c>
      <c r="P14" s="90">
        <v>0</v>
      </c>
      <c r="Q14" s="90">
        <v>0</v>
      </c>
      <c r="R14" s="90">
        <f t="shared" si="0"/>
        <v>17.934426229508198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110823.82739091782</v>
      </c>
      <c r="AA14" s="3">
        <f t="shared" si="1"/>
        <v>17396.192854387431</v>
      </c>
      <c r="AF14" s="26"/>
    </row>
    <row r="15" spans="1:39">
      <c r="A15" s="92" t="s">
        <v>998</v>
      </c>
      <c r="B15" s="93">
        <f t="shared" si="2"/>
        <v>69798.823154725949</v>
      </c>
      <c r="C15" s="93">
        <f t="shared" si="3"/>
        <v>73006.491086921131</v>
      </c>
      <c r="D15" s="93">
        <f t="shared" si="4"/>
        <v>73555.281259605763</v>
      </c>
      <c r="E15" s="93">
        <f t="shared" si="5"/>
        <v>74108.204289227651</v>
      </c>
      <c r="F15" s="93">
        <f t="shared" si="6"/>
        <v>74665.291356952381</v>
      </c>
      <c r="G15" s="93">
        <f t="shared" si="7"/>
        <v>75226.573879603078</v>
      </c>
      <c r="H15" s="93">
        <f t="shared" si="8"/>
        <v>75792.083511498262</v>
      </c>
      <c r="I15" s="93">
        <f t="shared" si="9"/>
        <v>76361.852146202451</v>
      </c>
      <c r="J15" s="93">
        <f t="shared" si="10"/>
        <v>76935.911918367972</v>
      </c>
      <c r="K15" s="93">
        <f t="shared" si="11"/>
        <v>77514.295205567963</v>
      </c>
      <c r="L15" s="93">
        <f t="shared" si="12"/>
        <v>74108.204289227651</v>
      </c>
      <c r="M15" s="92" t="s">
        <v>1013</v>
      </c>
      <c r="N15" s="92">
        <f>657-$AD$19</f>
        <v>547</v>
      </c>
      <c r="O15" s="92">
        <v>0</v>
      </c>
      <c r="P15" s="92">
        <v>0</v>
      </c>
      <c r="Q15" s="92">
        <v>0</v>
      </c>
      <c r="R15" s="92">
        <f t="shared" si="0"/>
        <v>17.934426229508198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113057.62016176603</v>
      </c>
      <c r="AA15" s="3">
        <f t="shared" si="1"/>
        <v>18929.116711475181</v>
      </c>
      <c r="AC15" s="85">
        <f>AE2*((1+$AC$2/36500)^365)</f>
        <v>127114.88914412983</v>
      </c>
      <c r="AD15">
        <v>21.4</v>
      </c>
      <c r="AF15" s="26"/>
    </row>
    <row r="16" spans="1:39">
      <c r="A16" s="94" t="s">
        <v>999</v>
      </c>
      <c r="B16" s="95">
        <f t="shared" si="2"/>
        <v>72415.978072718455</v>
      </c>
      <c r="C16" s="95">
        <f t="shared" si="3"/>
        <v>75396.305059654784</v>
      </c>
      <c r="D16" s="95">
        <f t="shared" si="4"/>
        <v>75904.841873657395</v>
      </c>
      <c r="E16" s="95">
        <f t="shared" si="5"/>
        <v>76416.815725434193</v>
      </c>
      <c r="F16" s="95">
        <f t="shared" si="6"/>
        <v>76932.24989237127</v>
      </c>
      <c r="G16" s="95">
        <f>$S16/(1+($AC$7-$O16+$P16)/36500)^$N16</f>
        <v>77451.167809798382</v>
      </c>
      <c r="H16" s="95">
        <f t="shared" si="8"/>
        <v>77973.593072112388</v>
      </c>
      <c r="I16" s="95">
        <f t="shared" si="9"/>
        <v>78499.549433814434</v>
      </c>
      <c r="J16" s="95">
        <f t="shared" si="10"/>
        <v>79029.060810626965</v>
      </c>
      <c r="K16" s="95">
        <f t="shared" si="11"/>
        <v>79562.151280596532</v>
      </c>
      <c r="L16" s="95">
        <f t="shared" si="12"/>
        <v>76416.815725434193</v>
      </c>
      <c r="M16" s="94" t="s">
        <v>1003</v>
      </c>
      <c r="N16" s="94">
        <f>601-$AD$19</f>
        <v>491</v>
      </c>
      <c r="O16" s="94">
        <v>0</v>
      </c>
      <c r="P16" s="94">
        <v>0</v>
      </c>
      <c r="Q16" s="94">
        <v>0</v>
      </c>
      <c r="R16" s="94">
        <f t="shared" si="0"/>
        <v>16.098360655737704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5"/>
        <v>1185</v>
      </c>
      <c r="Z16" s="3">
        <f t="shared" si="14"/>
        <v>115336.43781815164</v>
      </c>
      <c r="AA16" s="3">
        <f t="shared" si="1"/>
        <v>20492.699045704685</v>
      </c>
      <c r="AF16" s="26"/>
    </row>
    <row r="17" spans="1:32">
      <c r="A17" s="173" t="s">
        <v>3918</v>
      </c>
      <c r="B17" s="175">
        <f>$S17/(1+($AC$2-$O17+$P17)/36500)^$N17</f>
        <v>76778.778733596366</v>
      </c>
      <c r="C17" s="175">
        <f t="shared" si="3"/>
        <v>79356.394049146533</v>
      </c>
      <c r="D17" s="175">
        <f t="shared" si="4"/>
        <v>79794.353558759511</v>
      </c>
      <c r="E17" s="175">
        <f t="shared" si="5"/>
        <v>80234.736166199</v>
      </c>
      <c r="F17" s="175">
        <f t="shared" si="6"/>
        <v>80677.555311194767</v>
      </c>
      <c r="G17" s="175">
        <f t="shared" si="7"/>
        <v>81122.82450818464</v>
      </c>
      <c r="H17" s="175">
        <f t="shared" si="8"/>
        <v>81570.557346772999</v>
      </c>
      <c r="I17" s="175">
        <f t="shared" si="9"/>
        <v>82020.767492111961</v>
      </c>
      <c r="J17" s="175">
        <f t="shared" si="10"/>
        <v>82473.468685346408</v>
      </c>
      <c r="K17" s="175">
        <f t="shared" si="11"/>
        <v>82928.67474404315</v>
      </c>
      <c r="L17" s="175">
        <f t="shared" si="12"/>
        <v>80234.736166199</v>
      </c>
      <c r="M17" s="173" t="s">
        <v>3919</v>
      </c>
      <c r="N17" s="173">
        <f>512-$AD$19</f>
        <v>402</v>
      </c>
      <c r="O17" s="173">
        <v>0</v>
      </c>
      <c r="P17" s="173">
        <v>0</v>
      </c>
      <c r="Q17" s="173">
        <v>0</v>
      </c>
      <c r="R17" s="173">
        <f t="shared" si="0"/>
        <v>13.180327868852459</v>
      </c>
      <c r="S17" s="175">
        <v>100000</v>
      </c>
      <c r="T17" s="175">
        <v>50000</v>
      </c>
      <c r="U17" s="175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117661.18789292377</v>
      </c>
      <c r="AA17" s="3">
        <f t="shared" si="1"/>
        <v>22087.553026618778</v>
      </c>
      <c r="AF17" s="26"/>
    </row>
    <row r="18" spans="1:32">
      <c r="A18" s="94" t="s">
        <v>3976</v>
      </c>
      <c r="B18" s="95">
        <f>$S18/(1+($AC$2-$O18+$P18)/36500)^$N18</f>
        <v>60202.90229950779</v>
      </c>
      <c r="C18" s="95">
        <f t="shared" si="3"/>
        <v>64144.190562756165</v>
      </c>
      <c r="D18" s="95">
        <f t="shared" si="4"/>
        <v>64825.747384811504</v>
      </c>
      <c r="E18" s="95">
        <f t="shared" si="5"/>
        <v>65514.555491864754</v>
      </c>
      <c r="F18" s="95">
        <f t="shared" si="6"/>
        <v>66210.692133368007</v>
      </c>
      <c r="G18" s="95">
        <f t="shared" si="7"/>
        <v>66914.235382769097</v>
      </c>
      <c r="H18" s="95">
        <f t="shared" si="8"/>
        <v>67625.264146379312</v>
      </c>
      <c r="I18" s="95">
        <f t="shared" si="9"/>
        <v>68343.858172209482</v>
      </c>
      <c r="J18" s="95">
        <f t="shared" si="10"/>
        <v>69070.098058998177</v>
      </c>
      <c r="K18" s="95">
        <f t="shared" si="11"/>
        <v>69804.065265308251</v>
      </c>
      <c r="L18" s="95">
        <f t="shared" si="12"/>
        <v>65514.555491864754</v>
      </c>
      <c r="M18" s="94" t="s">
        <v>3977</v>
      </c>
      <c r="N18" s="94">
        <f>882-$AD$19</f>
        <v>772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120032.79621139052</v>
      </c>
      <c r="AA18" s="3">
        <f t="shared" si="1"/>
        <v>23714.304087151155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76656.559332322533</v>
      </c>
      <c r="C19" s="91">
        <f t="shared" si="3"/>
        <v>85208.270190622192</v>
      </c>
      <c r="D19" s="91">
        <f t="shared" si="4"/>
        <v>86723.644439771087</v>
      </c>
      <c r="E19" s="91">
        <f t="shared" si="5"/>
        <v>88265.989957026788</v>
      </c>
      <c r="F19" s="91">
        <f t="shared" si="6"/>
        <v>89835.787167639428</v>
      </c>
      <c r="G19" s="91">
        <f t="shared" si="7"/>
        <v>91433.525061268854</v>
      </c>
      <c r="H19" s="91">
        <f t="shared" si="8"/>
        <v>93059.70134470734</v>
      </c>
      <c r="I19" s="91">
        <f t="shared" si="9"/>
        <v>94714.822597252438</v>
      </c>
      <c r="J19" s="91">
        <f t="shared" si="10"/>
        <v>96399.404429322123</v>
      </c>
      <c r="K19" s="91">
        <f t="shared" si="11"/>
        <v>98113.971643246114</v>
      </c>
      <c r="L19" s="91">
        <f t="shared" si="12"/>
        <v>88265.989957026788</v>
      </c>
      <c r="M19" s="90" t="s">
        <v>1018</v>
      </c>
      <c r="N19" s="90">
        <f>1397-$AD$19</f>
        <v>1287</v>
      </c>
      <c r="O19" s="90">
        <v>17</v>
      </c>
      <c r="P19" s="90">
        <f>$AI$2</f>
        <v>0.54</v>
      </c>
      <c r="Q19" s="90">
        <v>6</v>
      </c>
      <c r="R19" s="90">
        <f t="shared" si="0"/>
        <v>42.196721311475407</v>
      </c>
      <c r="S19" s="91">
        <v>100000</v>
      </c>
      <c r="T19" s="91">
        <v>96000</v>
      </c>
      <c r="U19" s="91">
        <f t="shared" si="13"/>
        <v>178627.68291532656</v>
      </c>
      <c r="W19">
        <v>98</v>
      </c>
      <c r="X19">
        <v>6</v>
      </c>
      <c r="Y19">
        <f t="shared" si="15"/>
        <v>1185</v>
      </c>
      <c r="Z19" s="3">
        <f t="shared" si="14"/>
        <v>122452.20726002638</v>
      </c>
      <c r="AA19" s="3">
        <f t="shared" si="1"/>
        <v>25373.590168894178</v>
      </c>
      <c r="AC19" t="s">
        <v>1063</v>
      </c>
      <c r="AD19">
        <v>110</v>
      </c>
      <c r="AF19" s="26"/>
    </row>
    <row r="20" spans="1:32">
      <c r="A20" s="92" t="s">
        <v>965</v>
      </c>
      <c r="B20" s="93">
        <f>$S20/(1+($AC$2-$O20+$P20)/36500)^$N20</f>
        <v>95722.317034261985</v>
      </c>
      <c r="C20" s="93">
        <f t="shared" si="3"/>
        <v>99361.476457755314</v>
      </c>
      <c r="D20" s="93">
        <f>$S20/(1+($AC$4-$O20+$P20)/36500)^$N20</f>
        <v>99981.344209998468</v>
      </c>
      <c r="E20" s="93">
        <f t="shared" si="5"/>
        <v>100605.08758554279</v>
      </c>
      <c r="F20" s="93">
        <f t="shared" si="6"/>
        <v>101232.730869697</v>
      </c>
      <c r="G20" s="93">
        <f t="shared" si="7"/>
        <v>101864.2985002694</v>
      </c>
      <c r="H20" s="93">
        <f t="shared" si="8"/>
        <v>102499.81506854997</v>
      </c>
      <c r="I20" s="93">
        <f t="shared" si="9"/>
        <v>103139.30532024681</v>
      </c>
      <c r="J20" s="93">
        <f t="shared" si="10"/>
        <v>103782.79415650177</v>
      </c>
      <c r="K20" s="93">
        <f t="shared" si="11"/>
        <v>104430.30663483204</v>
      </c>
      <c r="L20" s="93">
        <f t="shared" si="12"/>
        <v>100605.08758554279</v>
      </c>
      <c r="M20" s="92" t="s">
        <v>984</v>
      </c>
      <c r="N20" s="92">
        <f>564-$AD$19</f>
        <v>454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14.885245901639344</v>
      </c>
      <c r="S20" s="93">
        <v>100000</v>
      </c>
      <c r="T20" s="93">
        <v>100000</v>
      </c>
      <c r="U20" s="93">
        <f t="shared" si="13"/>
        <v>129007.93528755943</v>
      </c>
      <c r="W20">
        <v>98</v>
      </c>
      <c r="X20" s="9">
        <v>7</v>
      </c>
      <c r="Y20">
        <f t="shared" si="15"/>
        <v>1185</v>
      </c>
      <c r="Z20" s="3">
        <f t="shared" si="14"/>
        <v>124920.3845626113</v>
      </c>
      <c r="AA20" s="3">
        <f t="shared" si="1"/>
        <v>27066.061972272062</v>
      </c>
      <c r="AF20" s="26"/>
    </row>
    <row r="21" spans="1:32">
      <c r="A21" s="94" t="s">
        <v>966</v>
      </c>
      <c r="B21" s="95">
        <f t="shared" si="2"/>
        <v>89595.447316777514</v>
      </c>
      <c r="C21" s="95">
        <f t="shared" si="3"/>
        <v>93131.213583718913</v>
      </c>
      <c r="D21" s="95">
        <f t="shared" si="4"/>
        <v>93733.956708385638</v>
      </c>
      <c r="E21" s="95">
        <f t="shared" si="5"/>
        <v>94340.609108981429</v>
      </c>
      <c r="F21" s="95">
        <f t="shared" si="6"/>
        <v>94951.196194360964</v>
      </c>
      <c r="G21" s="95">
        <f t="shared" si="7"/>
        <v>95565.743538921888</v>
      </c>
      <c r="H21" s="95">
        <f t="shared" si="8"/>
        <v>96184.276883606304</v>
      </c>
      <c r="I21" s="95">
        <f t="shared" si="9"/>
        <v>96806.822137046853</v>
      </c>
      <c r="J21" s="95">
        <f t="shared" si="10"/>
        <v>97433.405376641938</v>
      </c>
      <c r="K21" s="95">
        <f t="shared" si="11"/>
        <v>98064.052849628468</v>
      </c>
      <c r="L21" s="95">
        <f t="shared" si="12"/>
        <v>94340.609108981429</v>
      </c>
      <c r="M21" s="94" t="s">
        <v>985</v>
      </c>
      <c r="N21" s="94">
        <f>581-$AD$19</f>
        <v>471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15.442622950819672</v>
      </c>
      <c r="S21" s="95">
        <v>100000</v>
      </c>
      <c r="T21" s="95">
        <v>92000</v>
      </c>
      <c r="U21" s="95">
        <f t="shared" si="13"/>
        <v>122107.44617768445</v>
      </c>
      <c r="W21">
        <v>98</v>
      </c>
      <c r="X21">
        <v>8</v>
      </c>
      <c r="Y21">
        <f t="shared" si="15"/>
        <v>1185</v>
      </c>
      <c r="Z21" s="3">
        <f t="shared" si="14"/>
        <v>127438.31106395145</v>
      </c>
      <c r="AA21" s="3">
        <f t="shared" si="1"/>
        <v>28792.383211717504</v>
      </c>
      <c r="AE21" s="25"/>
      <c r="AF21" s="26"/>
    </row>
    <row r="22" spans="1:32">
      <c r="A22" s="90" t="s">
        <v>959</v>
      </c>
      <c r="B22" s="91">
        <f>$S22/(1+($AC$2-$O22+$P22)/36500)^$N22</f>
        <v>95088.400883172842</v>
      </c>
      <c r="C22" s="91">
        <f t="shared" si="3"/>
        <v>99264.789690405465</v>
      </c>
      <c r="D22" s="91">
        <f t="shared" si="4"/>
        <v>99978.509163345399</v>
      </c>
      <c r="E22" s="91">
        <f t="shared" si="5"/>
        <v>100697.37020246252</v>
      </c>
      <c r="F22" s="91">
        <f t="shared" si="6"/>
        <v>101421.4099183082</v>
      </c>
      <c r="G22" s="91">
        <f t="shared" si="7"/>
        <v>102150.66568978851</v>
      </c>
      <c r="H22" s="91">
        <f t="shared" si="8"/>
        <v>102885.1751661343</v>
      </c>
      <c r="I22" s="91">
        <f t="shared" si="9"/>
        <v>103624.97626882576</v>
      </c>
      <c r="J22" s="91">
        <f t="shared" si="10"/>
        <v>104370.10719361552</v>
      </c>
      <c r="K22" s="91">
        <f t="shared" si="11"/>
        <v>105120.60641247357</v>
      </c>
      <c r="L22" s="91">
        <f t="shared" si="12"/>
        <v>100697.37020246252</v>
      </c>
      <c r="M22" s="90" t="s">
        <v>986</v>
      </c>
      <c r="N22" s="90">
        <f>633-$AD$19</f>
        <v>523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17.147540983606557</v>
      </c>
      <c r="S22" s="91">
        <v>100000</v>
      </c>
      <c r="T22" s="91">
        <v>100000</v>
      </c>
      <c r="U22" s="91">
        <f t="shared" si="13"/>
        <v>134099.81291443345</v>
      </c>
      <c r="W22">
        <v>98</v>
      </c>
      <c r="X22" s="9">
        <v>9</v>
      </c>
      <c r="Y22">
        <f t="shared" si="15"/>
        <v>1185</v>
      </c>
      <c r="Z22" s="3">
        <f t="shared" si="14"/>
        <v>130006.98952133424</v>
      </c>
      <c r="AA22" s="3">
        <f t="shared" si="1"/>
        <v>30553.230875951856</v>
      </c>
      <c r="AE22" s="25"/>
      <c r="AF22" s="26"/>
    </row>
    <row r="23" spans="1:32">
      <c r="A23" s="92" t="s">
        <v>952</v>
      </c>
      <c r="B23" s="93">
        <f t="shared" si="2"/>
        <v>94467.779309937527</v>
      </c>
      <c r="C23" s="93">
        <f t="shared" si="3"/>
        <v>99169.596229619987</v>
      </c>
      <c r="D23" s="93">
        <f t="shared" si="4"/>
        <v>99975.715282975681</v>
      </c>
      <c r="E23" s="93">
        <f t="shared" si="5"/>
        <v>100788.39820710271</v>
      </c>
      <c r="F23" s="93">
        <f t="shared" si="6"/>
        <v>101607.69853972444</v>
      </c>
      <c r="G23" s="93">
        <f t="shared" si="7"/>
        <v>102433.67025596743</v>
      </c>
      <c r="H23" s="93">
        <f t="shared" si="8"/>
        <v>103266.36777197018</v>
      </c>
      <c r="I23" s="93">
        <f t="shared" si="9"/>
        <v>104105.84594845375</v>
      </c>
      <c r="J23" s="93">
        <f t="shared" si="10"/>
        <v>104952.16009441785</v>
      </c>
      <c r="K23" s="93">
        <f t="shared" si="11"/>
        <v>105805.36597076165</v>
      </c>
      <c r="L23" s="93">
        <f t="shared" si="12"/>
        <v>100788.39820710271</v>
      </c>
      <c r="M23" s="92" t="s">
        <v>987</v>
      </c>
      <c r="N23" s="92">
        <f>701-$AD$19</f>
        <v>591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19.377049180327869</v>
      </c>
      <c r="S23" s="93">
        <v>100000</v>
      </c>
      <c r="T23" s="93">
        <v>100000</v>
      </c>
      <c r="U23" s="93">
        <f t="shared" si="13"/>
        <v>139314.48402311117</v>
      </c>
      <c r="W23">
        <v>98</v>
      </c>
      <c r="X23">
        <v>10</v>
      </c>
      <c r="Y23">
        <f t="shared" si="15"/>
        <v>1185</v>
      </c>
      <c r="Z23" s="3">
        <f t="shared" si="14"/>
        <v>132627.44290387366</v>
      </c>
      <c r="AA23" s="3">
        <f t="shared" si="1"/>
        <v>32349.295493470894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89556.638933822964</v>
      </c>
      <c r="C24" s="95">
        <f t="shared" si="3"/>
        <v>94222.480996833328</v>
      </c>
      <c r="D24" s="95">
        <f t="shared" si="4"/>
        <v>95023.459297920868</v>
      </c>
      <c r="E24" s="95">
        <f t="shared" si="5"/>
        <v>95831.257767594201</v>
      </c>
      <c r="F24" s="95">
        <f t="shared" si="6"/>
        <v>96645.934572842147</v>
      </c>
      <c r="G24" s="95">
        <f t="shared" si="7"/>
        <v>97467.54837751521</v>
      </c>
      <c r="H24" s="95">
        <f t="shared" si="8"/>
        <v>98296.15834664533</v>
      </c>
      <c r="I24" s="95">
        <f t="shared" si="9"/>
        <v>99131.824150654589</v>
      </c>
      <c r="J24" s="95">
        <f t="shared" si="10"/>
        <v>99974.605969777622</v>
      </c>
      <c r="K24" s="95">
        <f t="shared" si="11"/>
        <v>100824.56449832191</v>
      </c>
      <c r="L24" s="95">
        <f t="shared" si="12"/>
        <v>95831.257767594201</v>
      </c>
      <c r="M24" s="94" t="s">
        <v>1016</v>
      </c>
      <c r="N24" s="94">
        <f>728-$AD$19</f>
        <v>618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20.262295081967213</v>
      </c>
      <c r="S24" s="95">
        <v>100000</v>
      </c>
      <c r="T24" s="95">
        <v>95000</v>
      </c>
      <c r="U24" s="95">
        <f t="shared" si="13"/>
        <v>134436.75813768854</v>
      </c>
      <c r="W24">
        <v>98</v>
      </c>
      <c r="X24">
        <v>11</v>
      </c>
      <c r="Y24">
        <f t="shared" si="15"/>
        <v>1185</v>
      </c>
      <c r="Z24" s="3">
        <f t="shared" si="14"/>
        <v>135300.71479990488</v>
      </c>
      <c r="AA24" s="3">
        <f t="shared" si="1"/>
        <v>34181.281403340312</v>
      </c>
      <c r="AC24">
        <v>85600</v>
      </c>
      <c r="AD24">
        <v>980</v>
      </c>
      <c r="AE24" s="3">
        <f>AC24*(1+AC2/36500)^AD24</f>
        <v>163017.4231332778</v>
      </c>
      <c r="AF24" s="26"/>
    </row>
    <row r="25" spans="1:32">
      <c r="A25" s="90" t="s">
        <v>968</v>
      </c>
      <c r="B25" s="91">
        <f t="shared" si="2"/>
        <v>87734.136532133765</v>
      </c>
      <c r="C25" s="91">
        <f t="shared" si="3"/>
        <v>91873.423171688482</v>
      </c>
      <c r="D25" s="91">
        <f t="shared" si="4"/>
        <v>92582.081422437972</v>
      </c>
      <c r="E25" s="91">
        <f t="shared" si="5"/>
        <v>93296.215670424499</v>
      </c>
      <c r="F25" s="91">
        <f t="shared" si="6"/>
        <v>94015.868306032513</v>
      </c>
      <c r="G25" s="91">
        <f t="shared" si="7"/>
        <v>94741.082048434342</v>
      </c>
      <c r="H25" s="91">
        <f t="shared" si="8"/>
        <v>95471.899948050966</v>
      </c>
      <c r="I25" s="91">
        <f t="shared" si="9"/>
        <v>96208.365389195431</v>
      </c>
      <c r="J25" s="91">
        <f t="shared" si="10"/>
        <v>96950.522092643805</v>
      </c>
      <c r="K25" s="91">
        <f t="shared" si="11"/>
        <v>97698.41411821534</v>
      </c>
      <c r="L25" s="91">
        <f t="shared" si="12"/>
        <v>93296.215670424499</v>
      </c>
      <c r="M25" s="90" t="s">
        <v>988</v>
      </c>
      <c r="N25" s="90">
        <f>671-$AD$19</f>
        <v>561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18.393442622950818</v>
      </c>
      <c r="S25" s="91">
        <v>100000</v>
      </c>
      <c r="T25" s="91">
        <v>90600</v>
      </c>
      <c r="U25" s="91">
        <f t="shared" si="13"/>
        <v>126857.77241699437</v>
      </c>
      <c r="W25">
        <v>98</v>
      </c>
      <c r="X25">
        <v>12</v>
      </c>
      <c r="Y25">
        <f t="shared" si="15"/>
        <v>1185</v>
      </c>
      <c r="Z25" s="3">
        <f t="shared" si="14"/>
        <v>138027.86983259048</v>
      </c>
      <c r="AA25" s="3">
        <f t="shared" si="1"/>
        <v>36049.907031407121</v>
      </c>
      <c r="AE25" s="25"/>
      <c r="AF25" s="26"/>
    </row>
    <row r="26" spans="1:32">
      <c r="A26" s="92" t="s">
        <v>969</v>
      </c>
      <c r="B26" s="93">
        <f t="shared" si="2"/>
        <v>79559.203140856014</v>
      </c>
      <c r="C26" s="93">
        <f t="shared" si="3"/>
        <v>85490.341806634795</v>
      </c>
      <c r="D26" s="93">
        <f>$S26/(1+($AC$4-$O26+$P26)/36500)^$N26</f>
        <v>86521.041991967999</v>
      </c>
      <c r="E26" s="93">
        <f t="shared" si="5"/>
        <v>87564.183016753275</v>
      </c>
      <c r="F26" s="93">
        <f t="shared" si="6"/>
        <v>88619.91521889875</v>
      </c>
      <c r="G26" s="93">
        <f t="shared" si="7"/>
        <v>89688.390755147644</v>
      </c>
      <c r="H26" s="93">
        <f t="shared" si="8"/>
        <v>90769.763623014005</v>
      </c>
      <c r="I26" s="93">
        <f t="shared" si="9"/>
        <v>91864.189683234014</v>
      </c>
      <c r="J26" s="93">
        <f t="shared" si="10"/>
        <v>92971.826682173472</v>
      </c>
      <c r="K26" s="93">
        <f t="shared" si="11"/>
        <v>94092.834274806053</v>
      </c>
      <c r="L26" s="93">
        <f t="shared" si="12"/>
        <v>87564.183016753275</v>
      </c>
      <c r="M26" s="92" t="s">
        <v>989</v>
      </c>
      <c r="N26" s="92">
        <f>985-$AD$19</f>
        <v>875</v>
      </c>
      <c r="O26" s="92">
        <v>15</v>
      </c>
      <c r="P26" s="92">
        <f>$AI$2</f>
        <v>0.54</v>
      </c>
      <c r="Q26" s="92">
        <v>6</v>
      </c>
      <c r="R26" s="92">
        <f t="shared" si="0"/>
        <v>28.688524590163933</v>
      </c>
      <c r="S26" s="93">
        <v>100000</v>
      </c>
      <c r="T26" s="93">
        <v>85800</v>
      </c>
      <c r="U26" s="93">
        <f t="shared" si="13"/>
        <v>141408.77832631298</v>
      </c>
      <c r="W26">
        <v>99</v>
      </c>
      <c r="X26">
        <v>1</v>
      </c>
      <c r="Y26">
        <f t="shared" si="15"/>
        <v>1185</v>
      </c>
      <c r="Z26" s="3">
        <f t="shared" si="14"/>
        <v>140809.99408390364</v>
      </c>
      <c r="AA26" s="3">
        <f t="shared" si="1"/>
        <v>37955.905172035265</v>
      </c>
      <c r="AE26" s="25"/>
      <c r="AF26" s="26"/>
    </row>
    <row r="27" spans="1:32">
      <c r="A27" s="94" t="s">
        <v>943</v>
      </c>
      <c r="B27" s="95">
        <f>$S27/(1+($AC$2-$O27+$P27)/36500)^$N27</f>
        <v>84679.089170942607</v>
      </c>
      <c r="C27" s="95">
        <f t="shared" si="3"/>
        <v>86457.278347419735</v>
      </c>
      <c r="D27" s="95">
        <f t="shared" si="4"/>
        <v>86757.266957648637</v>
      </c>
      <c r="E27" s="95">
        <f t="shared" si="5"/>
        <v>87058.30059393734</v>
      </c>
      <c r="F27" s="95">
        <f t="shared" si="6"/>
        <v>87360.382911078224</v>
      </c>
      <c r="G27" s="95">
        <f t="shared" si="7"/>
        <v>87663.517576681508</v>
      </c>
      <c r="H27" s="95">
        <f t="shared" si="8"/>
        <v>87967.708271249241</v>
      </c>
      <c r="I27" s="95">
        <f t="shared" si="9"/>
        <v>88272.958688195038</v>
      </c>
      <c r="J27" s="95">
        <f t="shared" si="10"/>
        <v>88579.272533905634</v>
      </c>
      <c r="K27" s="95">
        <f t="shared" si="11"/>
        <v>88886.653527790739</v>
      </c>
      <c r="L27" s="95">
        <f t="shared" si="12"/>
        <v>87058.30059393734</v>
      </c>
      <c r="M27" s="94" t="s">
        <v>990</v>
      </c>
      <c r="N27" s="94">
        <f>363-$AD$19</f>
        <v>253</v>
      </c>
      <c r="O27" s="94">
        <v>0</v>
      </c>
      <c r="P27" s="94">
        <v>0</v>
      </c>
      <c r="Q27" s="94">
        <v>0</v>
      </c>
      <c r="R27" s="94">
        <f t="shared" si="0"/>
        <v>8.2950819672131146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143648.19552715734</v>
      </c>
      <c r="AA27" s="3">
        <f t="shared" si="1"/>
        <v>39900.023275475971</v>
      </c>
      <c r="AE27" s="25"/>
      <c r="AF27" s="26"/>
    </row>
    <row r="28" spans="1:32">
      <c r="A28" s="90" t="s">
        <v>978</v>
      </c>
      <c r="B28" s="91">
        <f t="shared" si="2"/>
        <v>86564.88315836768</v>
      </c>
      <c r="C28" s="91">
        <f t="shared" si="3"/>
        <v>95223.6897440303</v>
      </c>
      <c r="D28" s="91">
        <f t="shared" si="4"/>
        <v>96748.865143991163</v>
      </c>
      <c r="E28" s="91">
        <f t="shared" si="5"/>
        <v>98298.490315007584</v>
      </c>
      <c r="F28" s="91">
        <f t="shared" si="6"/>
        <v>99872.957549325904</v>
      </c>
      <c r="G28" s="91">
        <f t="shared" si="7"/>
        <v>101472.66543891415</v>
      </c>
      <c r="H28" s="91">
        <f t="shared" si="8"/>
        <v>103098.01897679298</v>
      </c>
      <c r="I28" s="91">
        <f t="shared" si="9"/>
        <v>104749.42965986747</v>
      </c>
      <c r="J28" s="91">
        <f t="shared" si="10"/>
        <v>106427.31559346787</v>
      </c>
      <c r="K28" s="91">
        <f t="shared" si="11"/>
        <v>108132.10159762714</v>
      </c>
      <c r="L28" s="91">
        <f t="shared" si="12"/>
        <v>98298.490315007584</v>
      </c>
      <c r="M28" s="90" t="s">
        <v>981</v>
      </c>
      <c r="N28" s="90">
        <f>1270-$AD$19</f>
        <v>1160</v>
      </c>
      <c r="O28" s="90">
        <v>20</v>
      </c>
      <c r="P28" s="90">
        <f>$AI$2</f>
        <v>0.54</v>
      </c>
      <c r="Q28" s="90">
        <v>6</v>
      </c>
      <c r="R28" s="90">
        <f t="shared" si="0"/>
        <v>38.032786885245905</v>
      </c>
      <c r="S28" s="91">
        <v>100000</v>
      </c>
      <c r="T28" s="91">
        <v>100000</v>
      </c>
      <c r="U28" s="91">
        <f t="shared" si="13"/>
        <v>185560.93139144921</v>
      </c>
      <c r="W28">
        <v>99</v>
      </c>
      <c r="X28">
        <v>3</v>
      </c>
      <c r="Y28">
        <f t="shared" si="15"/>
        <v>1185</v>
      </c>
      <c r="Z28" s="3">
        <f t="shared" si="14"/>
        <v>146543.60446825161</v>
      </c>
      <c r="AA28" s="3">
        <f t="shared" si="1"/>
        <v>41883.023740985489</v>
      </c>
      <c r="AC28" s="85">
        <f>AD28*((1+$AC$2/36500)^30)</f>
        <v>10199152.59546987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98332.850987757891</v>
      </c>
      <c r="C29" s="93">
        <f t="shared" si="3"/>
        <v>100324.74749801533</v>
      </c>
      <c r="D29" s="93">
        <f t="shared" si="4"/>
        <v>100660.64734890762</v>
      </c>
      <c r="E29" s="93">
        <f t="shared" si="5"/>
        <v>100997.67645932426</v>
      </c>
      <c r="F29" s="93">
        <f t="shared" si="6"/>
        <v>101335.83864126686</v>
      </c>
      <c r="G29" s="93">
        <f t="shared" si="7"/>
        <v>101675.13771964729</v>
      </c>
      <c r="H29" s="93">
        <f t="shared" si="8"/>
        <v>102015.57753235486</v>
      </c>
      <c r="I29" s="93">
        <f t="shared" si="9"/>
        <v>102357.161930281</v>
      </c>
      <c r="J29" s="93">
        <f t="shared" si="10"/>
        <v>102699.89477736922</v>
      </c>
      <c r="K29" s="93">
        <f t="shared" si="11"/>
        <v>103043.7799506622</v>
      </c>
      <c r="L29" s="93">
        <f t="shared" si="12"/>
        <v>100997.67645932426</v>
      </c>
      <c r="M29" s="92" t="s">
        <v>983</v>
      </c>
      <c r="N29" s="92">
        <f>354-$AD$19</f>
        <v>244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8</v>
      </c>
      <c r="S29" s="93">
        <v>100000</v>
      </c>
      <c r="T29" s="93">
        <v>103000</v>
      </c>
      <c r="U29" s="93">
        <f t="shared" si="13"/>
        <v>115439.17811663654</v>
      </c>
      <c r="W29">
        <v>99</v>
      </c>
      <c r="X29">
        <v>4</v>
      </c>
      <c r="Y29">
        <f t="shared" si="15"/>
        <v>1185</v>
      </c>
      <c r="Z29" s="3">
        <f t="shared" si="14"/>
        <v>149497.37399581482</v>
      </c>
      <c r="AA29" s="3">
        <f t="shared" si="1"/>
        <v>43905.684215805202</v>
      </c>
      <c r="AE29" s="25"/>
      <c r="AF29" s="26"/>
    </row>
    <row r="30" spans="1:32">
      <c r="A30" s="94" t="s">
        <v>1008</v>
      </c>
      <c r="B30" s="95">
        <f t="shared" si="2"/>
        <v>94681.14688212912</v>
      </c>
      <c r="C30" s="95">
        <f t="shared" si="3"/>
        <v>100000</v>
      </c>
      <c r="D30" s="95">
        <f t="shared" si="4"/>
        <v>100915.12705934525</v>
      </c>
      <c r="E30" s="95">
        <f t="shared" si="5"/>
        <v>101838.6414027126</v>
      </c>
      <c r="F30" s="95">
        <f t="shared" si="6"/>
        <v>102770.62001737686</v>
      </c>
      <c r="G30" s="95">
        <f t="shared" si="7"/>
        <v>103711.14059831492</v>
      </c>
      <c r="H30" s="95">
        <f t="shared" si="8"/>
        <v>104660.28155481281</v>
      </c>
      <c r="I30" s="95">
        <f t="shared" si="9"/>
        <v>105618.12201694342</v>
      </c>
      <c r="J30" s="95">
        <f t="shared" si="10"/>
        <v>106584.74184226785</v>
      </c>
      <c r="K30" s="95">
        <f t="shared" si="11"/>
        <v>107560.22162249713</v>
      </c>
      <c r="L30" s="95">
        <f t="shared" si="12"/>
        <v>101838.6414027126</v>
      </c>
      <c r="M30" s="94" t="s">
        <v>1009</v>
      </c>
      <c r="N30" s="94">
        <f>775-$AD$19</f>
        <v>665</v>
      </c>
      <c r="O30" s="94">
        <v>21</v>
      </c>
      <c r="P30" s="94">
        <v>0</v>
      </c>
      <c r="Q30" s="94">
        <v>1</v>
      </c>
      <c r="R30" s="94">
        <f t="shared" si="0"/>
        <v>21.803278688524589</v>
      </c>
      <c r="S30" s="95">
        <v>100000</v>
      </c>
      <c r="T30" s="95">
        <v>104000</v>
      </c>
      <c r="U30" s="95">
        <f t="shared" si="13"/>
        <v>146588.81316412444</v>
      </c>
      <c r="W30">
        <v>99</v>
      </c>
      <c r="X30">
        <v>5</v>
      </c>
      <c r="Y30">
        <f t="shared" si="15"/>
        <v>1185</v>
      </c>
      <c r="Z30" s="3">
        <f t="shared" si="14"/>
        <v>152510.68044041799</v>
      </c>
      <c r="AA30" s="3">
        <f t="shared" si="1"/>
        <v>45968.79790012131</v>
      </c>
      <c r="AD30" s="25"/>
      <c r="AE30" s="26"/>
    </row>
    <row r="31" spans="1:32">
      <c r="A31" s="90" t="s">
        <v>1058</v>
      </c>
      <c r="B31" s="91">
        <f t="shared" si="2"/>
        <v>77708.740496049868</v>
      </c>
      <c r="C31" s="91">
        <f t="shared" si="3"/>
        <v>85910.60695616217</v>
      </c>
      <c r="D31" s="91">
        <f t="shared" si="4"/>
        <v>87359.46285989121</v>
      </c>
      <c r="E31" s="91">
        <f t="shared" si="5"/>
        <v>88832.773621024011</v>
      </c>
      <c r="F31" s="91">
        <f t="shared" si="6"/>
        <v>90330.952350085208</v>
      </c>
      <c r="G31" s="91">
        <f t="shared" si="7"/>
        <v>91854.419142069106</v>
      </c>
      <c r="H31" s="91">
        <f t="shared" si="8"/>
        <v>93403.601194554736</v>
      </c>
      <c r="I31" s="91">
        <f t="shared" si="9"/>
        <v>94978.932927748217</v>
      </c>
      <c r="J31" s="91">
        <f t="shared" si="10"/>
        <v>96580.856107003812</v>
      </c>
      <c r="K31" s="91">
        <f t="shared" si="11"/>
        <v>98209.81996679533</v>
      </c>
      <c r="L31" s="91">
        <f t="shared" si="12"/>
        <v>88832.773621024011</v>
      </c>
      <c r="M31" s="90" t="s">
        <v>1059</v>
      </c>
      <c r="N31" s="90">
        <f>1331-$AD$19</f>
        <v>1221</v>
      </c>
      <c r="O31" s="90">
        <v>17</v>
      </c>
      <c r="P31" s="90">
        <f>AI2</f>
        <v>0.54</v>
      </c>
      <c r="Q31" s="90">
        <v>6</v>
      </c>
      <c r="R31" s="90">
        <f t="shared" si="0"/>
        <v>40.032786885245905</v>
      </c>
      <c r="S31" s="91">
        <v>100000</v>
      </c>
      <c r="T31" s="91"/>
      <c r="U31" s="91">
        <f t="shared" si="13"/>
        <v>173391.70426616751</v>
      </c>
      <c r="W31">
        <v>99</v>
      </c>
      <c r="X31">
        <v>6</v>
      </c>
      <c r="Y31">
        <f t="shared" si="15"/>
        <v>1185</v>
      </c>
      <c r="Z31" s="3">
        <f t="shared" si="14"/>
        <v>155584.72384304518</v>
      </c>
      <c r="AA31" s="3">
        <f t="shared" si="1"/>
        <v>48073.173858123737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158720.72843300659</v>
      </c>
      <c r="AA32" s="3">
        <f t="shared" si="1"/>
        <v>50219.637335286214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161919.94311548441</v>
      </c>
      <c r="AA33" s="3">
        <f t="shared" si="1"/>
        <v>52409.030081991936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165183.6419689059</v>
      </c>
      <c r="AA34" s="3">
        <f t="shared" si="1"/>
        <v>54642.210683631776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168513.12475234168</v>
      </c>
      <c r="AA35" s="3">
        <f t="shared" si="1"/>
        <v>56920.054897304413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171909.71742313108</v>
      </c>
      <c r="AA36" s="3">
        <f t="shared" si="1"/>
        <v>59243.455995250501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175374.77266494109</v>
      </c>
      <c r="AA37" s="3">
        <f t="shared" si="1"/>
        <v>61613.325115155509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178909.67042646883</v>
      </c>
      <c r="AA38" s="3">
        <f t="shared" si="1"/>
        <v>64030.591617458616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182515.81847100236</v>
      </c>
      <c r="AA39" s="3">
        <f t="shared" si="1"/>
        <v>66496.203449807799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186194.65293705853</v>
      </c>
      <c r="AA40" s="3">
        <f t="shared" si="1"/>
        <v>69011.127518803958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189947.63891032114</v>
      </c>
      <c r="AA41" s="3">
        <f t="shared" si="1"/>
        <v>71576.350069180044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193776.27100710731</v>
      </c>
      <c r="AA42" s="3">
        <f t="shared" si="1"/>
        <v>74192.877070563642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197682.07396959435</v>
      </c>
      <c r="AA43" s="3">
        <f t="shared" si="1"/>
        <v>76861.734611974913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201666.60327304399</v>
      </c>
      <c r="AA44" s="3">
        <f t="shared" si="1"/>
        <v>79583.969304214406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205731.4457452663</v>
      </c>
      <c r="AA45" s="3">
        <f t="shared" si="1"/>
        <v>82360.648690298694</v>
      </c>
      <c r="AD45" s="25"/>
      <c r="AE45" s="26"/>
    </row>
    <row r="46" spans="1:31">
      <c r="D46" t="s">
        <v>3847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209878.22019856935</v>
      </c>
      <c r="AA46" s="3">
        <f t="shared" si="1"/>
        <v>85192.861664104668</v>
      </c>
      <c r="AD46" s="25"/>
      <c r="AE46" s="26"/>
    </row>
    <row r="47" spans="1:31">
      <c r="D47" t="s">
        <v>3848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214108.57807444679</v>
      </c>
      <c r="AA47" s="3">
        <f t="shared" si="1"/>
        <v>88081.71889738676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218424.20410125988</v>
      </c>
      <c r="AA48" s="3">
        <f t="shared" si="1"/>
        <v>91028.353275334492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222826.81696517591</v>
      </c>
      <c r="AA49" s="3">
        <f t="shared" si="1"/>
        <v>94033.920340841185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3947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3948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3944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3920</v>
      </c>
      <c r="B90" s="105" t="s">
        <v>3943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3921</v>
      </c>
      <c r="B91" s="90">
        <f>116-'اوراق بدون ریسک'!$AD$19</f>
        <v>6</v>
      </c>
      <c r="C91" s="153">
        <f>$B$89/(1+(C$90/36500))^$B91</f>
        <v>2991138.5889934907</v>
      </c>
      <c r="D91" s="153">
        <f>$B$89/(1+(D$90/36500))^$B91</f>
        <v>2990647.1844374146</v>
      </c>
      <c r="E91" s="153">
        <f t="shared" ref="E91:L106" si="5">$B$89/(1+(E$90/36500))^$B91</f>
        <v>2990155.8740652497</v>
      </c>
      <c r="F91" s="153">
        <f t="shared" si="5"/>
        <v>2989664.6578563647</v>
      </c>
      <c r="G91" s="153">
        <f t="shared" si="5"/>
        <v>2989173.5357901412</v>
      </c>
      <c r="H91" s="153">
        <f t="shared" si="5"/>
        <v>2988682.5078459503</v>
      </c>
      <c r="I91" s="153">
        <f t="shared" si="5"/>
        <v>2988191.57400318</v>
      </c>
      <c r="J91" s="153">
        <f t="shared" si="5"/>
        <v>2987700.7342412253</v>
      </c>
      <c r="K91" s="153">
        <f>$B$89/(1+(K$90/36500))^$B91</f>
        <v>2987209.9885394778</v>
      </c>
      <c r="L91" s="153">
        <f t="shared" si="5"/>
        <v>2986719.3368773386</v>
      </c>
    </row>
    <row r="92" spans="1:12">
      <c r="A92" s="154" t="s">
        <v>3922</v>
      </c>
      <c r="B92" s="92">
        <f>120-'اوراق بدون ریسک'!$AD$19</f>
        <v>10</v>
      </c>
      <c r="C92" s="155">
        <f t="shared" ref="C92:L112" si="6">$B$89/(1+(C$90/36500))^$B92</f>
        <v>2985245.5280266032</v>
      </c>
      <c r="D92" s="155">
        <f t="shared" si="6"/>
        <v>2984428.1787830857</v>
      </c>
      <c r="E92" s="155">
        <f t="shared" si="5"/>
        <v>2983611.075698765</v>
      </c>
      <c r="F92" s="155">
        <f t="shared" si="5"/>
        <v>2982794.2186927674</v>
      </c>
      <c r="G92" s="155">
        <f t="shared" si="5"/>
        <v>2981977.6076842612</v>
      </c>
      <c r="H92" s="155">
        <f t="shared" si="5"/>
        <v>2981161.2425924134</v>
      </c>
      <c r="I92" s="155">
        <f t="shared" si="5"/>
        <v>2980345.1233364441</v>
      </c>
      <c r="J92" s="155">
        <f t="shared" si="5"/>
        <v>2979529.2498355997</v>
      </c>
      <c r="K92" s="155">
        <f t="shared" si="5"/>
        <v>2978713.6220091498</v>
      </c>
      <c r="L92" s="155">
        <f t="shared" si="5"/>
        <v>2977898.2397763906</v>
      </c>
    </row>
    <row r="93" spans="1:12">
      <c r="A93" s="156" t="s">
        <v>3923</v>
      </c>
      <c r="B93" s="157">
        <f>137-'اوراق بدون ریسک'!$AD$19</f>
        <v>27</v>
      </c>
      <c r="C93" s="158">
        <f t="shared" si="6"/>
        <v>2960329.2707382925</v>
      </c>
      <c r="D93" s="158">
        <f t="shared" si="6"/>
        <v>2958141.3563981187</v>
      </c>
      <c r="E93" s="158">
        <f t="shared" si="5"/>
        <v>2955955.1189418174</v>
      </c>
      <c r="F93" s="158">
        <f t="shared" si="5"/>
        <v>2953770.5570383095</v>
      </c>
      <c r="G93" s="158">
        <f t="shared" si="5"/>
        <v>2951587.6693576383</v>
      </c>
      <c r="H93" s="158">
        <f t="shared" si="5"/>
        <v>2949406.4545708648</v>
      </c>
      <c r="I93" s="158">
        <f t="shared" si="5"/>
        <v>2947226.9113502009</v>
      </c>
      <c r="J93" s="158">
        <f t="shared" si="5"/>
        <v>2945049.0383689469</v>
      </c>
      <c r="K93" s="158">
        <f t="shared" si="5"/>
        <v>2942872.8343014726</v>
      </c>
      <c r="L93" s="158">
        <f t="shared" si="5"/>
        <v>2940698.2978232363</v>
      </c>
    </row>
    <row r="94" spans="1:12">
      <c r="A94" s="159" t="s">
        <v>3924</v>
      </c>
      <c r="B94" s="160">
        <f>116-'اوراق بدون ریسک'!$AD$19</f>
        <v>6</v>
      </c>
      <c r="C94" s="161">
        <f t="shared" si="6"/>
        <v>2991138.5889934907</v>
      </c>
      <c r="D94" s="161">
        <f t="shared" si="6"/>
        <v>2990647.1844374146</v>
      </c>
      <c r="E94" s="161">
        <f t="shared" si="5"/>
        <v>2990155.8740652497</v>
      </c>
      <c r="F94" s="161">
        <f t="shared" si="5"/>
        <v>2989664.6578563647</v>
      </c>
      <c r="G94" s="161">
        <f t="shared" si="5"/>
        <v>2989173.5357901412</v>
      </c>
      <c r="H94" s="161">
        <f t="shared" si="5"/>
        <v>2988682.5078459503</v>
      </c>
      <c r="I94" s="161">
        <f t="shared" si="5"/>
        <v>2988191.57400318</v>
      </c>
      <c r="J94" s="161">
        <f t="shared" si="5"/>
        <v>2987700.7342412253</v>
      </c>
      <c r="K94" s="161">
        <f t="shared" si="5"/>
        <v>2987209.9885394778</v>
      </c>
      <c r="L94" s="161">
        <f t="shared" si="5"/>
        <v>2986719.3368773386</v>
      </c>
    </row>
    <row r="95" spans="1:12">
      <c r="A95" s="162" t="s">
        <v>3925</v>
      </c>
      <c r="B95" s="163">
        <f>167-'اوراق بدون ریسک'!$AD$19</f>
        <v>57</v>
      </c>
      <c r="C95" s="164">
        <f t="shared" si="6"/>
        <v>2916865.6390593918</v>
      </c>
      <c r="D95" s="164">
        <f t="shared" si="6"/>
        <v>2912316.3926723166</v>
      </c>
      <c r="E95" s="164">
        <f t="shared" si="5"/>
        <v>2907774.3657291452</v>
      </c>
      <c r="F95" s="164">
        <f t="shared" si="5"/>
        <v>2903239.5465757377</v>
      </c>
      <c r="G95" s="164">
        <f t="shared" si="5"/>
        <v>2898711.9235771471</v>
      </c>
      <c r="H95" s="164">
        <f t="shared" si="5"/>
        <v>2894191.4851173707</v>
      </c>
      <c r="I95" s="164">
        <f t="shared" si="5"/>
        <v>2889678.2195996</v>
      </c>
      <c r="J95" s="164">
        <f t="shared" si="5"/>
        <v>2885172.1154460553</v>
      </c>
      <c r="K95" s="164">
        <f t="shared" si="5"/>
        <v>2880673.1610979242</v>
      </c>
      <c r="L95" s="164">
        <f t="shared" si="5"/>
        <v>2876181.3450153568</v>
      </c>
    </row>
    <row r="96" spans="1:12">
      <c r="A96" s="167" t="s">
        <v>3926</v>
      </c>
      <c r="B96" s="168">
        <f>181-'اوراق بدون ریسک'!$AD$19</f>
        <v>71</v>
      </c>
      <c r="C96" s="169">
        <f t="shared" si="6"/>
        <v>2896801.5678819628</v>
      </c>
      <c r="D96" s="169">
        <f t="shared" si="6"/>
        <v>2891175.0195805845</v>
      </c>
      <c r="E96" s="169">
        <f t="shared" si="5"/>
        <v>2885559.5535209845</v>
      </c>
      <c r="F96" s="169">
        <f t="shared" si="5"/>
        <v>2879955.1475726361</v>
      </c>
      <c r="G96" s="169">
        <f t="shared" si="5"/>
        <v>2874361.7796498924</v>
      </c>
      <c r="H96" s="169">
        <f t="shared" si="5"/>
        <v>2868779.4277116125</v>
      </c>
      <c r="I96" s="169">
        <f t="shared" si="5"/>
        <v>2863208.0697614294</v>
      </c>
      <c r="J96" s="169">
        <f t="shared" si="5"/>
        <v>2857647.6838474935</v>
      </c>
      <c r="K96" s="169">
        <f t="shared" si="5"/>
        <v>2852098.248062334</v>
      </c>
      <c r="L96" s="169">
        <f t="shared" si="5"/>
        <v>2846559.7405428137</v>
      </c>
    </row>
    <row r="97" spans="1:12">
      <c r="A97" s="170" t="s">
        <v>3927</v>
      </c>
      <c r="B97" s="88">
        <f>197-'اوراق بدون ریسک'!$AD$19</f>
        <v>87</v>
      </c>
      <c r="C97" s="149">
        <f t="shared" si="6"/>
        <v>2874040.1415561009</v>
      </c>
      <c r="D97" s="149">
        <f t="shared" si="6"/>
        <v>2867201.3095936747</v>
      </c>
      <c r="E97" s="149">
        <f t="shared" si="5"/>
        <v>2860378.9373562397</v>
      </c>
      <c r="F97" s="149">
        <f t="shared" si="5"/>
        <v>2853572.984779391</v>
      </c>
      <c r="G97" s="149">
        <f t="shared" si="5"/>
        <v>2846783.4118974316</v>
      </c>
      <c r="H97" s="149">
        <f t="shared" si="5"/>
        <v>2840010.1788427942</v>
      </c>
      <c r="I97" s="149">
        <f t="shared" si="5"/>
        <v>2833253.2458462282</v>
      </c>
      <c r="J97" s="149">
        <f t="shared" si="5"/>
        <v>2826512.5732363556</v>
      </c>
      <c r="K97" s="149">
        <f t="shared" si="5"/>
        <v>2819788.1214393699</v>
      </c>
      <c r="L97" s="149">
        <f t="shared" si="5"/>
        <v>2813079.8509788504</v>
      </c>
    </row>
    <row r="98" spans="1:12">
      <c r="A98" s="171" t="s">
        <v>3928</v>
      </c>
      <c r="B98" s="127">
        <f>214-'اوراق بدون ریسک'!$AD$19</f>
        <v>104</v>
      </c>
      <c r="C98" s="112">
        <f t="shared" si="6"/>
        <v>2850052.0565052601</v>
      </c>
      <c r="D98" s="112">
        <f t="shared" si="6"/>
        <v>2841947.0206471183</v>
      </c>
      <c r="E98" s="112">
        <f t="shared" si="5"/>
        <v>2833865.2550454582</v>
      </c>
      <c r="F98" s="112">
        <f t="shared" si="5"/>
        <v>2825806.6922549144</v>
      </c>
      <c r="G98" s="112">
        <f t="shared" si="5"/>
        <v>2817771.265027557</v>
      </c>
      <c r="H98" s="112">
        <f t="shared" si="5"/>
        <v>2809758.9063119027</v>
      </c>
      <c r="I98" s="112">
        <f t="shared" si="5"/>
        <v>2801769.5492528607</v>
      </c>
      <c r="J98" s="112">
        <f t="shared" si="5"/>
        <v>2793803.1271909038</v>
      </c>
      <c r="K98" s="112">
        <f t="shared" si="5"/>
        <v>2785859.5736614303</v>
      </c>
      <c r="L98" s="112">
        <f t="shared" si="5"/>
        <v>2777938.8223942537</v>
      </c>
    </row>
    <row r="99" spans="1:12">
      <c r="A99" s="172" t="s">
        <v>3929</v>
      </c>
      <c r="B99" s="173">
        <f>272-'اوراق بدون ریسک'!$AD$19</f>
        <v>162</v>
      </c>
      <c r="C99" s="174">
        <f t="shared" si="6"/>
        <v>2769707.0881026913</v>
      </c>
      <c r="D99" s="174">
        <f t="shared" si="6"/>
        <v>2757447.5814397554</v>
      </c>
      <c r="E99" s="174">
        <f t="shared" si="5"/>
        <v>2745242.6722903978</v>
      </c>
      <c r="F99" s="174">
        <f t="shared" si="5"/>
        <v>2733092.1160204518</v>
      </c>
      <c r="G99" s="174">
        <f t="shared" si="5"/>
        <v>2720995.6690986999</v>
      </c>
      <c r="H99" s="174">
        <f t="shared" si="5"/>
        <v>2708953.0890912777</v>
      </c>
      <c r="I99" s="174">
        <f t="shared" si="5"/>
        <v>2696964.13465747</v>
      </c>
      <c r="J99" s="174">
        <f t="shared" si="5"/>
        <v>2685028.5655443957</v>
      </c>
      <c r="K99" s="174">
        <f t="shared" si="5"/>
        <v>2673146.1425819765</v>
      </c>
      <c r="L99" s="174">
        <f t="shared" si="5"/>
        <v>2661316.6276781219</v>
      </c>
    </row>
    <row r="100" spans="1:12">
      <c r="A100" s="156" t="s">
        <v>3930</v>
      </c>
      <c r="B100" s="157">
        <f>302-'اوراق بدون ریسک'!$AD$19</f>
        <v>192</v>
      </c>
      <c r="C100" s="158">
        <f t="shared" si="6"/>
        <v>2729042.1762884334</v>
      </c>
      <c r="D100" s="158">
        <f t="shared" si="6"/>
        <v>2714731.5918465005</v>
      </c>
      <c r="E100" s="158">
        <f t="shared" si="5"/>
        <v>2700496.4382035048</v>
      </c>
      <c r="F100" s="158">
        <f t="shared" si="5"/>
        <v>2686336.3157160841</v>
      </c>
      <c r="G100" s="158">
        <f t="shared" si="5"/>
        <v>2672250.826869301</v>
      </c>
      <c r="H100" s="158">
        <f t="shared" si="5"/>
        <v>2658239.5762645472</v>
      </c>
      <c r="I100" s="158">
        <f t="shared" si="5"/>
        <v>2644302.1706091277</v>
      </c>
      <c r="J100" s="158">
        <f t="shared" si="5"/>
        <v>2630438.2187045673</v>
      </c>
      <c r="K100" s="158">
        <f t="shared" si="5"/>
        <v>2616647.3314352855</v>
      </c>
      <c r="L100" s="158">
        <f t="shared" si="5"/>
        <v>2602929.1217575623</v>
      </c>
    </row>
    <row r="101" spans="1:12">
      <c r="A101" s="159" t="s">
        <v>3931</v>
      </c>
      <c r="B101" s="160">
        <f>319-'اوراق بدون ریسک'!$AD$19</f>
        <v>209</v>
      </c>
      <c r="C101" s="161">
        <f t="shared" si="6"/>
        <v>2706264.3121641371</v>
      </c>
      <c r="D101" s="161">
        <f t="shared" si="6"/>
        <v>2690820.255100301</v>
      </c>
      <c r="E101" s="161">
        <f t="shared" si="5"/>
        <v>2675464.7531673596</v>
      </c>
      <c r="F101" s="161">
        <f t="shared" si="5"/>
        <v>2660197.2961924393</v>
      </c>
      <c r="G101" s="161">
        <f t="shared" si="5"/>
        <v>2645017.3769558757</v>
      </c>
      <c r="H101" s="161">
        <f t="shared" si="5"/>
        <v>2629924.4911732869</v>
      </c>
      <c r="I101" s="161">
        <f t="shared" si="5"/>
        <v>2614918.1374794752</v>
      </c>
      <c r="J101" s="161">
        <f t="shared" si="5"/>
        <v>2599997.8174110055</v>
      </c>
      <c r="K101" s="161">
        <f t="shared" si="5"/>
        <v>2585163.035389204</v>
      </c>
      <c r="L101" s="161">
        <f t="shared" si="5"/>
        <v>2570413.2987035047</v>
      </c>
    </row>
    <row r="102" spans="1:12">
      <c r="A102" s="156" t="s">
        <v>3932</v>
      </c>
      <c r="B102" s="157">
        <f>334-'اوراق بدون ریسک'!$AD$19</f>
        <v>224</v>
      </c>
      <c r="C102" s="158">
        <f t="shared" si="6"/>
        <v>2686324.1292954339</v>
      </c>
      <c r="D102" s="158">
        <f t="shared" si="6"/>
        <v>2669896.9791307412</v>
      </c>
      <c r="E102" s="158">
        <f t="shared" si="5"/>
        <v>2653570.7283881931</v>
      </c>
      <c r="F102" s="158">
        <f t="shared" si="5"/>
        <v>2637344.7545823553</v>
      </c>
      <c r="G102" s="158">
        <f t="shared" si="5"/>
        <v>2621218.4390852489</v>
      </c>
      <c r="H102" s="158">
        <f t="shared" si="5"/>
        <v>2605191.1671015425</v>
      </c>
      <c r="I102" s="158">
        <f t="shared" si="5"/>
        <v>2589262.3276457367</v>
      </c>
      <c r="J102" s="158">
        <f t="shared" si="5"/>
        <v>2573431.3135179728</v>
      </c>
      <c r="K102" s="158">
        <f t="shared" si="5"/>
        <v>2557697.521280346</v>
      </c>
      <c r="L102" s="158">
        <f t="shared" si="5"/>
        <v>2542060.3512336188</v>
      </c>
    </row>
    <row r="103" spans="1:12">
      <c r="A103" s="159" t="s">
        <v>3933</v>
      </c>
      <c r="B103" s="160">
        <f>349-'اوراق بدون ریسک'!$AD$19</f>
        <v>239</v>
      </c>
      <c r="C103" s="161">
        <f t="shared" si="6"/>
        <v>2666530.8688433804</v>
      </c>
      <c r="D103" s="161">
        <f t="shared" si="6"/>
        <v>2649136.3983380385</v>
      </c>
      <c r="E103" s="161">
        <f t="shared" si="5"/>
        <v>2631855.8681151043</v>
      </c>
      <c r="F103" s="161">
        <f t="shared" si="5"/>
        <v>2614688.528733809</v>
      </c>
      <c r="G103" s="161">
        <f t="shared" si="5"/>
        <v>2597633.6357033793</v>
      </c>
      <c r="H103" s="161">
        <f t="shared" si="5"/>
        <v>2580690.4494493701</v>
      </c>
      <c r="I103" s="161">
        <f t="shared" si="5"/>
        <v>2563858.2352821515</v>
      </c>
      <c r="J103" s="161">
        <f t="shared" si="5"/>
        <v>2547136.2633640058</v>
      </c>
      <c r="K103" s="161">
        <f t="shared" si="5"/>
        <v>2530523.808676824</v>
      </c>
      <c r="L103" s="161">
        <f t="shared" si="5"/>
        <v>2514020.1509902724</v>
      </c>
    </row>
    <row r="104" spans="1:12">
      <c r="A104" s="172" t="s">
        <v>3934</v>
      </c>
      <c r="B104" s="173">
        <f>361-'اوراق بدون ریسک'!$AD$19</f>
        <v>251</v>
      </c>
      <c r="C104" s="174">
        <f t="shared" si="6"/>
        <v>2650801.3168812762</v>
      </c>
      <c r="D104" s="174">
        <f t="shared" si="6"/>
        <v>2632644.2237630161</v>
      </c>
      <c r="E104" s="174">
        <f t="shared" si="5"/>
        <v>2614611.9926844155</v>
      </c>
      <c r="F104" s="174">
        <f t="shared" si="5"/>
        <v>2596703.761614929</v>
      </c>
      <c r="G104" s="174">
        <f t="shared" si="5"/>
        <v>2578918.6744989655</v>
      </c>
      <c r="H104" s="174">
        <f t="shared" si="5"/>
        <v>2561255.8812134308</v>
      </c>
      <c r="I104" s="174">
        <f t="shared" si="5"/>
        <v>2543714.5375275919</v>
      </c>
      <c r="J104" s="174">
        <f t="shared" si="5"/>
        <v>2526293.8050615476</v>
      </c>
      <c r="K104" s="174">
        <f t="shared" si="5"/>
        <v>2508992.8512453809</v>
      </c>
      <c r="L104" s="174">
        <f t="shared" si="5"/>
        <v>2491810.8492788803</v>
      </c>
    </row>
    <row r="105" spans="1:12">
      <c r="A105" s="165" t="s">
        <v>3935</v>
      </c>
      <c r="B105" s="94">
        <f>372-'اوراق بدون ریسک'!$AD$19</f>
        <v>262</v>
      </c>
      <c r="C105" s="166">
        <f t="shared" si="6"/>
        <v>2636464.0848996886</v>
      </c>
      <c r="D105" s="166">
        <f t="shared" si="6"/>
        <v>2617616.6070901332</v>
      </c>
      <c r="E105" s="166">
        <f t="shared" si="5"/>
        <v>2598904.3761502691</v>
      </c>
      <c r="F105" s="166">
        <f t="shared" si="5"/>
        <v>2580326.4179038652</v>
      </c>
      <c r="G105" s="166">
        <f t="shared" si="5"/>
        <v>2561881.7652182821</v>
      </c>
      <c r="H105" s="166">
        <f t="shared" si="5"/>
        <v>2543569.4579524375</v>
      </c>
      <c r="I105" s="166">
        <f t="shared" si="5"/>
        <v>2525388.5429072538</v>
      </c>
      <c r="J105" s="166">
        <f t="shared" si="5"/>
        <v>2507338.0737747331</v>
      </c>
      <c r="K105" s="166">
        <f t="shared" si="5"/>
        <v>2489417.1110878009</v>
      </c>
      <c r="L105" s="166">
        <f t="shared" si="5"/>
        <v>2471624.7221708149</v>
      </c>
    </row>
    <row r="106" spans="1:12">
      <c r="A106" s="159" t="s">
        <v>3936</v>
      </c>
      <c r="B106" s="160">
        <f>391-'اوراق بدون ریسک'!$AD$19</f>
        <v>281</v>
      </c>
      <c r="C106" s="161">
        <f t="shared" si="6"/>
        <v>2611882.1827059961</v>
      </c>
      <c r="D106" s="161">
        <f t="shared" si="6"/>
        <v>2591861.5796895851</v>
      </c>
      <c r="E106" s="161">
        <f t="shared" si="5"/>
        <v>2571994.9805521346</v>
      </c>
      <c r="F106" s="161">
        <f t="shared" si="5"/>
        <v>2552281.1964858589</v>
      </c>
      <c r="G106" s="161">
        <f t="shared" si="5"/>
        <v>2532719.0478922296</v>
      </c>
      <c r="H106" s="161">
        <f t="shared" si="5"/>
        <v>2513307.3643094231</v>
      </c>
      <c r="I106" s="161">
        <f t="shared" si="5"/>
        <v>2494044.984342549</v>
      </c>
      <c r="J106" s="161">
        <f t="shared" si="5"/>
        <v>2474930.7555925897</v>
      </c>
      <c r="K106" s="161">
        <f t="shared" si="5"/>
        <v>2455963.5345863258</v>
      </c>
      <c r="L106" s="161">
        <f t="shared" si="5"/>
        <v>2437142.1867071069</v>
      </c>
    </row>
    <row r="107" spans="1:12">
      <c r="A107" s="165" t="s">
        <v>3937</v>
      </c>
      <c r="B107" s="94">
        <f>407-'اوراق بدون ریسک'!$AD$19</f>
        <v>297</v>
      </c>
      <c r="C107" s="166">
        <f t="shared" si="6"/>
        <v>2591359.4915653109</v>
      </c>
      <c r="D107" s="166">
        <f t="shared" si="6"/>
        <v>2570369.7857245463</v>
      </c>
      <c r="E107" s="166">
        <f t="shared" si="6"/>
        <v>2549550.6618050458</v>
      </c>
      <c r="F107" s="166">
        <f t="shared" si="6"/>
        <v>2528900.7288849722</v>
      </c>
      <c r="G107" s="166">
        <f t="shared" si="6"/>
        <v>2508418.6074219486</v>
      </c>
      <c r="H107" s="166">
        <f t="shared" si="6"/>
        <v>2488102.9291586429</v>
      </c>
      <c r="I107" s="166">
        <f t="shared" si="6"/>
        <v>2467952.3370314525</v>
      </c>
      <c r="J107" s="166">
        <f t="shared" si="6"/>
        <v>2447965.4850780196</v>
      </c>
      <c r="K107" s="166">
        <f t="shared" si="6"/>
        <v>2428141.0383459609</v>
      </c>
      <c r="L107" s="166">
        <f t="shared" si="6"/>
        <v>2408477.6728026597</v>
      </c>
    </row>
    <row r="108" spans="1:12">
      <c r="A108" s="156" t="s">
        <v>3938</v>
      </c>
      <c r="B108" s="157">
        <f>573-'اوراق بدون ریسک'!$AD$19</f>
        <v>463</v>
      </c>
      <c r="C108" s="158">
        <f t="shared" si="6"/>
        <v>2387722.0714950301</v>
      </c>
      <c r="D108" s="158">
        <f t="shared" si="6"/>
        <v>2357640.4224093403</v>
      </c>
      <c r="E108" s="158">
        <f t="shared" si="6"/>
        <v>2327938.5643223128</v>
      </c>
      <c r="F108" s="158">
        <f t="shared" si="6"/>
        <v>2298611.6920409221</v>
      </c>
      <c r="G108" s="158">
        <f t="shared" si="6"/>
        <v>2269655.0612979182</v>
      </c>
      <c r="H108" s="158">
        <f t="shared" si="6"/>
        <v>2241063.9879762693</v>
      </c>
      <c r="I108" s="158">
        <f t="shared" si="6"/>
        <v>2212833.8473467845</v>
      </c>
      <c r="J108" s="158">
        <f t="shared" si="6"/>
        <v>2184960.0733126989</v>
      </c>
      <c r="K108" s="158">
        <f t="shared" si="6"/>
        <v>2157438.157664537</v>
      </c>
      <c r="L108" s="158">
        <f t="shared" si="6"/>
        <v>2130263.6493449095</v>
      </c>
    </row>
    <row r="109" spans="1:12">
      <c r="A109" s="165" t="s">
        <v>3939</v>
      </c>
      <c r="B109" s="94">
        <f>579-'اوراق بدون ریسک'!$AD$19</f>
        <v>469</v>
      </c>
      <c r="C109" s="166">
        <f t="shared" si="6"/>
        <v>2380669.2092800862</v>
      </c>
      <c r="D109" s="166">
        <f t="shared" si="6"/>
        <v>2350290.230398111</v>
      </c>
      <c r="E109" s="166">
        <f t="shared" si="6"/>
        <v>2320299.7241904624</v>
      </c>
      <c r="F109" s="166">
        <f t="shared" si="6"/>
        <v>2290692.7126100538</v>
      </c>
      <c r="G109" s="166">
        <f t="shared" si="6"/>
        <v>2261464.2815346299</v>
      </c>
      <c r="H109" s="166">
        <f t="shared" si="6"/>
        <v>2232609.5799427219</v>
      </c>
      <c r="I109" s="166">
        <f t="shared" si="6"/>
        <v>2204123.8191035679</v>
      </c>
      <c r="J109" s="166">
        <f t="shared" si="6"/>
        <v>2176002.2717747027</v>
      </c>
      <c r="K109" s="166">
        <f t="shared" si="6"/>
        <v>2148240.2714105719</v>
      </c>
      <c r="L109" s="166">
        <f t="shared" si="6"/>
        <v>2120833.2113817753</v>
      </c>
    </row>
    <row r="110" spans="1:12">
      <c r="A110" s="159" t="s">
        <v>3940</v>
      </c>
      <c r="B110" s="160">
        <f>753-'اوراق بدون ریسک'!$AD$19</f>
        <v>643</v>
      </c>
      <c r="C110" s="161">
        <f t="shared" si="6"/>
        <v>2184953.530004242</v>
      </c>
      <c r="D110" s="161">
        <f t="shared" si="6"/>
        <v>2146818.6456130063</v>
      </c>
      <c r="E110" s="161">
        <f t="shared" si="6"/>
        <v>2109350.3619021382</v>
      </c>
      <c r="F110" s="161">
        <f t="shared" si="6"/>
        <v>2072537.0088647113</v>
      </c>
      <c r="G110" s="161">
        <f t="shared" si="6"/>
        <v>2036367.1211093136</v>
      </c>
      <c r="H110" s="161">
        <f t="shared" si="6"/>
        <v>2000829.4342651919</v>
      </c>
      <c r="I110" s="161">
        <f t="shared" si="6"/>
        <v>1965912.8814547299</v>
      </c>
      <c r="J110" s="161">
        <f t="shared" si="6"/>
        <v>1931606.589824554</v>
      </c>
      <c r="K110" s="161">
        <f t="shared" si="6"/>
        <v>1897899.8771384633</v>
      </c>
      <c r="L110" s="161">
        <f t="shared" si="6"/>
        <v>1864782.2484308151</v>
      </c>
    </row>
    <row r="111" spans="1:12">
      <c r="A111" s="172" t="s">
        <v>3941</v>
      </c>
      <c r="B111" s="173">
        <f>757-'اوراق بدون ریسک'!$AD$19</f>
        <v>647</v>
      </c>
      <c r="C111" s="174">
        <f t="shared" si="6"/>
        <v>2180648.7932028407</v>
      </c>
      <c r="D111" s="174">
        <f t="shared" si="6"/>
        <v>2142354.3686613948</v>
      </c>
      <c r="E111" s="174">
        <f t="shared" si="6"/>
        <v>2104733.4544951832</v>
      </c>
      <c r="F111" s="174">
        <f t="shared" si="6"/>
        <v>2067774.1872565115</v>
      </c>
      <c r="G111" s="174">
        <f t="shared" si="6"/>
        <v>2031464.9127814162</v>
      </c>
      <c r="H111" s="174">
        <f t="shared" si="6"/>
        <v>1995794.1824903095</v>
      </c>
      <c r="I111" s="174">
        <f t="shared" si="6"/>
        <v>1960750.7497582096</v>
      </c>
      <c r="J111" s="174">
        <f t="shared" si="6"/>
        <v>1926323.5663457778</v>
      </c>
      <c r="K111" s="174">
        <f t="shared" si="6"/>
        <v>1892501.7788943162</v>
      </c>
      <c r="L111" s="174">
        <f t="shared" si="6"/>
        <v>1859274.7254833356</v>
      </c>
    </row>
    <row r="112" spans="1:12">
      <c r="A112" s="156" t="s">
        <v>3942</v>
      </c>
      <c r="B112" s="157">
        <f>774-'اوراق بدون ریسک'!$AD$19</f>
        <v>664</v>
      </c>
      <c r="C112" s="158">
        <f t="shared" si="6"/>
        <v>2162448.0770886112</v>
      </c>
      <c r="D112" s="158">
        <f t="shared" si="6"/>
        <v>2123484.5264668269</v>
      </c>
      <c r="E112" s="158">
        <f t="shared" si="6"/>
        <v>2085224.0694159681</v>
      </c>
      <c r="F112" s="158">
        <f t="shared" si="6"/>
        <v>2047653.999946018</v>
      </c>
      <c r="G112" s="158">
        <f t="shared" si="6"/>
        <v>2010761.8420229249</v>
      </c>
      <c r="H112" s="158">
        <f t="shared" si="6"/>
        <v>1974535.3453988584</v>
      </c>
      <c r="I112" s="158">
        <f t="shared" si="6"/>
        <v>1938962.4815223545</v>
      </c>
      <c r="J112" s="158">
        <f t="shared" si="6"/>
        <v>1904031.439519211</v>
      </c>
      <c r="K112" s="158">
        <f t="shared" si="6"/>
        <v>1869730.6222471718</v>
      </c>
      <c r="L112" s="158">
        <f t="shared" si="6"/>
        <v>1836048.6424227734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6" sqref="G246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770</v>
      </c>
      <c r="E2" s="11">
        <f>IF(B2&gt;0,1,0)</f>
        <v>1</v>
      </c>
      <c r="F2" s="11">
        <f>B2*(D2-E2)</f>
        <v>74362300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768</v>
      </c>
      <c r="E3" s="11">
        <f t="shared" ref="E3:E66" si="1">IF(B3&gt;0,1,0)</f>
        <v>1</v>
      </c>
      <c r="F3" s="11">
        <f t="shared" ref="F3:F66" si="2">B3*(D3-E3)</f>
        <v>2301000000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765</v>
      </c>
      <c r="E4" s="11">
        <f t="shared" si="1"/>
        <v>0</v>
      </c>
      <c r="F4" s="11">
        <f t="shared" si="2"/>
        <v>-153000000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763</v>
      </c>
      <c r="E5" s="11">
        <f t="shared" si="1"/>
        <v>0</v>
      </c>
      <c r="F5" s="11">
        <f t="shared" si="2"/>
        <v>-76300000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762</v>
      </c>
      <c r="E6" s="11">
        <f t="shared" si="1"/>
        <v>0</v>
      </c>
      <c r="F6" s="11">
        <f t="shared" si="2"/>
        <v>-41910000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761</v>
      </c>
      <c r="E7" s="11">
        <f t="shared" si="1"/>
        <v>0</v>
      </c>
      <c r="F7" s="11">
        <f t="shared" si="2"/>
        <v>-152200000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757</v>
      </c>
      <c r="E8" s="11">
        <f t="shared" si="1"/>
        <v>0</v>
      </c>
      <c r="F8" s="11">
        <f t="shared" si="2"/>
        <v>-151400000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747</v>
      </c>
      <c r="E9" s="11">
        <f t="shared" si="1"/>
        <v>0</v>
      </c>
      <c r="F9" s="11">
        <f t="shared" si="2"/>
        <v>-710023500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746</v>
      </c>
      <c r="E10" s="11">
        <f t="shared" si="1"/>
        <v>1</v>
      </c>
      <c r="F10" s="11">
        <f t="shared" si="2"/>
        <v>1490000000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744</v>
      </c>
      <c r="E11" s="11">
        <f t="shared" si="1"/>
        <v>0</v>
      </c>
      <c r="F11" s="11">
        <f t="shared" si="2"/>
        <v>-792360000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741</v>
      </c>
      <c r="E12" s="11">
        <f t="shared" si="1"/>
        <v>0</v>
      </c>
      <c r="F12" s="11">
        <f t="shared" si="2"/>
        <v>-33345000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740</v>
      </c>
      <c r="E13" s="11">
        <f t="shared" si="1"/>
        <v>0</v>
      </c>
      <c r="F13" s="11">
        <f t="shared" si="2"/>
        <v>-1480518000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736</v>
      </c>
      <c r="E14" s="11">
        <f t="shared" si="1"/>
        <v>0</v>
      </c>
      <c r="F14" s="11">
        <f t="shared" si="2"/>
        <v>-147200000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734</v>
      </c>
      <c r="E15" s="11">
        <f t="shared" si="1"/>
        <v>1</v>
      </c>
      <c r="F15" s="11">
        <f t="shared" si="2"/>
        <v>1466000000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734</v>
      </c>
      <c r="E16" s="11">
        <f t="shared" si="1"/>
        <v>1</v>
      </c>
      <c r="F16" s="11">
        <f t="shared" si="2"/>
        <v>1466000000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734</v>
      </c>
      <c r="E17" s="11">
        <f t="shared" si="1"/>
        <v>1</v>
      </c>
      <c r="F17" s="11">
        <f t="shared" si="2"/>
        <v>879600000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734</v>
      </c>
      <c r="E18" s="11">
        <f t="shared" si="1"/>
        <v>1</v>
      </c>
      <c r="F18" s="11">
        <f t="shared" si="2"/>
        <v>733000000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733</v>
      </c>
      <c r="E19" s="11">
        <f t="shared" si="1"/>
        <v>1</v>
      </c>
      <c r="F19" s="11">
        <f t="shared" si="2"/>
        <v>2196000000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733</v>
      </c>
      <c r="E20" s="11">
        <f t="shared" si="1"/>
        <v>0</v>
      </c>
      <c r="F20" s="11">
        <f t="shared" si="2"/>
        <v>-317169100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733</v>
      </c>
      <c r="E21" s="11">
        <f t="shared" si="1"/>
        <v>0</v>
      </c>
      <c r="F21" s="11">
        <f t="shared" si="2"/>
        <v>-317169100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733</v>
      </c>
      <c r="E22" s="11">
        <f t="shared" si="1"/>
        <v>0</v>
      </c>
      <c r="F22" s="11">
        <f t="shared" si="2"/>
        <v>-317169100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733</v>
      </c>
      <c r="E23" s="11">
        <f t="shared" si="1"/>
        <v>0</v>
      </c>
      <c r="F23" s="11">
        <f t="shared" si="2"/>
        <v>-317169100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733</v>
      </c>
      <c r="E24" s="11">
        <f t="shared" si="1"/>
        <v>0</v>
      </c>
      <c r="F24" s="11">
        <f t="shared" si="2"/>
        <v>-317169100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733</v>
      </c>
      <c r="E25" s="11">
        <f t="shared" si="1"/>
        <v>0</v>
      </c>
      <c r="F25" s="11">
        <f t="shared" si="2"/>
        <v>-146600000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732</v>
      </c>
      <c r="E26" s="11">
        <f t="shared" si="1"/>
        <v>1</v>
      </c>
      <c r="F26" s="11">
        <f t="shared" si="2"/>
        <v>2193000000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730</v>
      </c>
      <c r="E27" s="11">
        <f t="shared" si="1"/>
        <v>0</v>
      </c>
      <c r="F27" s="11">
        <f t="shared" si="2"/>
        <v>-146000000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729</v>
      </c>
      <c r="E28" s="11">
        <f t="shared" si="1"/>
        <v>1</v>
      </c>
      <c r="F28" s="11">
        <f t="shared" si="2"/>
        <v>1456000000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728</v>
      </c>
      <c r="E29" s="11">
        <f t="shared" si="1"/>
        <v>0</v>
      </c>
      <c r="F29" s="11">
        <f t="shared" si="2"/>
        <v>-5096582400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727</v>
      </c>
      <c r="E30" s="11">
        <f t="shared" si="1"/>
        <v>0</v>
      </c>
      <c r="F30" s="11">
        <f t="shared" si="2"/>
        <v>-2181654300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726</v>
      </c>
      <c r="E31" s="11">
        <f t="shared" si="1"/>
        <v>0</v>
      </c>
      <c r="F31" s="11">
        <f t="shared" si="2"/>
        <v>-1231223400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723</v>
      </c>
      <c r="E32" s="11">
        <f t="shared" si="1"/>
        <v>1</v>
      </c>
      <c r="F32" s="11">
        <f t="shared" si="2"/>
        <v>717884600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717</v>
      </c>
      <c r="E33" s="11">
        <f t="shared" si="1"/>
        <v>1</v>
      </c>
      <c r="F33" s="11">
        <f t="shared" si="2"/>
        <v>25125156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716</v>
      </c>
      <c r="E34" s="11">
        <f t="shared" si="1"/>
        <v>0</v>
      </c>
      <c r="F34" s="11">
        <f t="shared" si="2"/>
        <v>-608600000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708</v>
      </c>
      <c r="E35" s="11">
        <f t="shared" si="1"/>
        <v>0</v>
      </c>
      <c r="F35" s="11">
        <f t="shared" si="2"/>
        <v>-134874000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707</v>
      </c>
      <c r="E36" s="11">
        <f t="shared" si="1"/>
        <v>1</v>
      </c>
      <c r="F36" s="11">
        <f t="shared" si="2"/>
        <v>141200000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707</v>
      </c>
      <c r="E37" s="11">
        <f t="shared" si="1"/>
        <v>0</v>
      </c>
      <c r="F37" s="11">
        <f t="shared" si="2"/>
        <v>-141400000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685</v>
      </c>
      <c r="E38" s="11">
        <f t="shared" si="1"/>
        <v>1</v>
      </c>
      <c r="F38" s="11">
        <f t="shared" si="2"/>
        <v>205751304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684</v>
      </c>
      <c r="E39" s="11">
        <f t="shared" si="1"/>
        <v>0</v>
      </c>
      <c r="F39" s="11">
        <f t="shared" si="2"/>
        <v>-64980000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684</v>
      </c>
      <c r="E40" s="11">
        <f t="shared" si="1"/>
        <v>0</v>
      </c>
      <c r="F40" s="11">
        <f t="shared" si="2"/>
        <v>-60262452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679</v>
      </c>
      <c r="E41" s="11">
        <f t="shared" si="1"/>
        <v>0</v>
      </c>
      <c r="F41" s="11">
        <f t="shared" si="2"/>
        <v>-81480000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657</v>
      </c>
      <c r="E42" s="11">
        <f t="shared" si="1"/>
        <v>1</v>
      </c>
      <c r="F42" s="11">
        <f t="shared" si="2"/>
        <v>656133824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653</v>
      </c>
      <c r="E43" s="11">
        <f t="shared" si="1"/>
        <v>0</v>
      </c>
      <c r="F43" s="11">
        <f t="shared" si="2"/>
        <v>-52240000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649</v>
      </c>
      <c r="E44" s="11">
        <f t="shared" si="1"/>
        <v>0</v>
      </c>
      <c r="F44" s="11">
        <f t="shared" si="2"/>
        <v>-136957821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648</v>
      </c>
      <c r="E45" s="11">
        <f t="shared" si="1"/>
        <v>0</v>
      </c>
      <c r="F45" s="11">
        <f t="shared" si="2"/>
        <v>-129600000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647</v>
      </c>
      <c r="E46" s="11">
        <f t="shared" si="1"/>
        <v>0</v>
      </c>
      <c r="F46" s="11">
        <f t="shared" si="2"/>
        <v>-61465000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645</v>
      </c>
      <c r="E47" s="11">
        <f t="shared" si="1"/>
        <v>0</v>
      </c>
      <c r="F47" s="11">
        <f t="shared" si="2"/>
        <v>-29025000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645</v>
      </c>
      <c r="E48" s="11">
        <f t="shared" si="1"/>
        <v>0</v>
      </c>
      <c r="F48" s="11">
        <f t="shared" si="2"/>
        <v>-41396100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642</v>
      </c>
      <c r="E49" s="11">
        <f t="shared" si="1"/>
        <v>0</v>
      </c>
      <c r="F49" s="11">
        <f t="shared" si="2"/>
        <v>-17644728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641</v>
      </c>
      <c r="E50" s="11">
        <f t="shared" si="1"/>
        <v>0</v>
      </c>
      <c r="F50" s="11">
        <f t="shared" si="2"/>
        <v>-90381000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641</v>
      </c>
      <c r="E51" s="11">
        <f t="shared" si="1"/>
        <v>0</v>
      </c>
      <c r="F51" s="11">
        <f t="shared" si="2"/>
        <v>-17144186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640</v>
      </c>
      <c r="E52" s="11">
        <f t="shared" si="1"/>
        <v>0</v>
      </c>
      <c r="F52" s="11">
        <f t="shared" si="2"/>
        <v>-34112000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639</v>
      </c>
      <c r="E53" s="11">
        <f t="shared" si="1"/>
        <v>1</v>
      </c>
      <c r="F53" s="11">
        <f t="shared" si="2"/>
        <v>638000000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633</v>
      </c>
      <c r="E54" s="11">
        <f t="shared" si="1"/>
        <v>0</v>
      </c>
      <c r="F54" s="11">
        <f t="shared" si="2"/>
        <v>-13293000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632</v>
      </c>
      <c r="E55" s="11">
        <f t="shared" si="1"/>
        <v>0</v>
      </c>
      <c r="F55" s="11">
        <f t="shared" si="2"/>
        <v>-619676000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632</v>
      </c>
      <c r="E56" s="11">
        <f t="shared" si="1"/>
        <v>0</v>
      </c>
      <c r="F56" s="11">
        <f t="shared" si="2"/>
        <v>-28440000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619</v>
      </c>
      <c r="E57" s="11">
        <f t="shared" si="1"/>
        <v>1</v>
      </c>
      <c r="F57" s="11">
        <f t="shared" si="2"/>
        <v>1857206802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619</v>
      </c>
      <c r="E58" s="11">
        <f t="shared" si="1"/>
        <v>1</v>
      </c>
      <c r="F58" s="11">
        <f t="shared" si="2"/>
        <v>1236000000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618</v>
      </c>
      <c r="E59" s="11">
        <f t="shared" si="1"/>
        <v>1</v>
      </c>
      <c r="F59" s="11">
        <f t="shared" si="2"/>
        <v>1234000000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618</v>
      </c>
      <c r="E60" s="11">
        <f t="shared" si="1"/>
        <v>0</v>
      </c>
      <c r="F60" s="11">
        <f t="shared" si="2"/>
        <v>-4326927000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594</v>
      </c>
      <c r="E61" s="11">
        <f t="shared" si="1"/>
        <v>1</v>
      </c>
      <c r="F61" s="11">
        <f t="shared" si="2"/>
        <v>1779000000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593</v>
      </c>
      <c r="E62" s="11">
        <f t="shared" si="1"/>
        <v>0</v>
      </c>
      <c r="F62" s="11">
        <f t="shared" si="2"/>
        <v>-16075637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593</v>
      </c>
      <c r="E63" s="11">
        <f t="shared" si="1"/>
        <v>0</v>
      </c>
      <c r="F63" s="11">
        <f t="shared" si="2"/>
        <v>-19562477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593</v>
      </c>
      <c r="E64" s="11">
        <f t="shared" si="1"/>
        <v>1</v>
      </c>
      <c r="F64" s="11">
        <f t="shared" si="2"/>
        <v>1776000000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593</v>
      </c>
      <c r="E65" s="11">
        <f t="shared" si="1"/>
        <v>1</v>
      </c>
      <c r="F65" s="11">
        <f t="shared" si="2"/>
        <v>1758240000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593</v>
      </c>
      <c r="E66" s="11">
        <f t="shared" si="1"/>
        <v>1</v>
      </c>
      <c r="F66" s="11">
        <f t="shared" si="2"/>
        <v>592000000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593</v>
      </c>
      <c r="E67" s="11">
        <f t="shared" ref="E67:E130" si="4">IF(B67&gt;0,1,0)</f>
        <v>1</v>
      </c>
      <c r="F67" s="11">
        <f t="shared" ref="F67:F261" si="5">B67*(D67-E67)</f>
        <v>17760000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592</v>
      </c>
      <c r="E68" s="11">
        <f t="shared" si="4"/>
        <v>1</v>
      </c>
      <c r="F68" s="11">
        <f t="shared" si="5"/>
        <v>17730000000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591</v>
      </c>
      <c r="E69" s="11">
        <f t="shared" si="4"/>
        <v>0</v>
      </c>
      <c r="F69" s="11">
        <f t="shared" si="5"/>
        <v>-118200000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591</v>
      </c>
      <c r="E70" s="11">
        <f t="shared" si="4"/>
        <v>1</v>
      </c>
      <c r="F70" s="11">
        <f t="shared" si="5"/>
        <v>826000000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591</v>
      </c>
      <c r="E71" s="11">
        <f t="shared" si="4"/>
        <v>1</v>
      </c>
      <c r="F71" s="11">
        <f t="shared" si="5"/>
        <v>1534000000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591</v>
      </c>
      <c r="E72" s="11">
        <f t="shared" si="4"/>
        <v>0</v>
      </c>
      <c r="F72" s="11">
        <f t="shared" si="5"/>
        <v>-591000000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589</v>
      </c>
      <c r="E73" s="11">
        <f t="shared" si="4"/>
        <v>1</v>
      </c>
      <c r="F73" s="11">
        <f t="shared" si="5"/>
        <v>8820000000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584</v>
      </c>
      <c r="E74" s="11">
        <f t="shared" si="4"/>
        <v>0</v>
      </c>
      <c r="F74" s="11">
        <f t="shared" si="5"/>
        <v>-8762452800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582</v>
      </c>
      <c r="E75" s="11">
        <f t="shared" si="4"/>
        <v>0</v>
      </c>
      <c r="F75" s="11">
        <f t="shared" si="5"/>
        <v>-1746000000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582</v>
      </c>
      <c r="E76" s="11">
        <f t="shared" si="4"/>
        <v>0</v>
      </c>
      <c r="F76" s="11">
        <f t="shared" si="5"/>
        <v>-116400000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582</v>
      </c>
      <c r="E77" s="11">
        <f t="shared" si="4"/>
        <v>0</v>
      </c>
      <c r="F77" s="11">
        <f t="shared" si="5"/>
        <v>-6985746000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578</v>
      </c>
      <c r="E78" s="11">
        <f t="shared" si="4"/>
        <v>0</v>
      </c>
      <c r="F78" s="11">
        <f t="shared" si="5"/>
        <v>-1734520200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573</v>
      </c>
      <c r="E79" s="11">
        <f t="shared" si="4"/>
        <v>1</v>
      </c>
      <c r="F79" s="11">
        <f t="shared" si="5"/>
        <v>13156000000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568</v>
      </c>
      <c r="E80" s="11">
        <f t="shared" si="4"/>
        <v>0</v>
      </c>
      <c r="F80" s="11">
        <f t="shared" si="5"/>
        <v>-341084000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568</v>
      </c>
      <c r="E81" s="11">
        <f t="shared" si="4"/>
        <v>0</v>
      </c>
      <c r="F81" s="11">
        <f t="shared" si="5"/>
        <v>-113600000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567</v>
      </c>
      <c r="E82" s="11">
        <f t="shared" si="4"/>
        <v>1</v>
      </c>
      <c r="F82" s="11">
        <f t="shared" si="5"/>
        <v>160303086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567</v>
      </c>
      <c r="E83" s="11">
        <f t="shared" si="4"/>
        <v>0</v>
      </c>
      <c r="F83" s="11">
        <f t="shared" si="5"/>
        <v>-113400000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565</v>
      </c>
      <c r="E84" s="11">
        <f t="shared" si="4"/>
        <v>1</v>
      </c>
      <c r="F84" s="11">
        <f t="shared" si="5"/>
        <v>1128000000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562</v>
      </c>
      <c r="E85" s="11">
        <f t="shared" si="4"/>
        <v>0</v>
      </c>
      <c r="F85" s="11">
        <f t="shared" si="5"/>
        <v>-112400000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556</v>
      </c>
      <c r="E86" s="11">
        <f t="shared" si="4"/>
        <v>0</v>
      </c>
      <c r="F86" s="11">
        <f t="shared" si="5"/>
        <v>-111200000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554</v>
      </c>
      <c r="E87" s="11">
        <f t="shared" si="4"/>
        <v>0</v>
      </c>
      <c r="F87" s="11">
        <f t="shared" si="5"/>
        <v>-734050000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539</v>
      </c>
      <c r="E88" s="11">
        <f t="shared" si="4"/>
        <v>0</v>
      </c>
      <c r="F88" s="11">
        <f t="shared" si="5"/>
        <v>-269500000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539</v>
      </c>
      <c r="E89" s="11">
        <f t="shared" si="4"/>
        <v>0</v>
      </c>
      <c r="F89" s="11">
        <f t="shared" si="5"/>
        <v>-64680000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537</v>
      </c>
      <c r="E90" s="11">
        <f t="shared" si="4"/>
        <v>1</v>
      </c>
      <c r="F90" s="11">
        <f t="shared" si="5"/>
        <v>229517880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534</v>
      </c>
      <c r="E91" s="11">
        <f t="shared" si="4"/>
        <v>0</v>
      </c>
      <c r="F91" s="11">
        <f t="shared" si="5"/>
        <v>-1603068000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532</v>
      </c>
      <c r="E92" s="11">
        <f t="shared" si="4"/>
        <v>0</v>
      </c>
      <c r="F92" s="11">
        <f t="shared" si="5"/>
        <v>-109060000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532</v>
      </c>
      <c r="E93" s="11">
        <f t="shared" si="4"/>
        <v>0</v>
      </c>
      <c r="F93" s="11">
        <f t="shared" si="5"/>
        <v>-186466000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521</v>
      </c>
      <c r="E94" s="11">
        <f t="shared" si="4"/>
        <v>1</v>
      </c>
      <c r="F94" s="11">
        <f t="shared" si="5"/>
        <v>520000000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516</v>
      </c>
      <c r="E95" s="11">
        <f t="shared" si="4"/>
        <v>1</v>
      </c>
      <c r="F95" s="11">
        <f t="shared" si="5"/>
        <v>4635000000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514</v>
      </c>
      <c r="E96" s="11">
        <f t="shared" si="4"/>
        <v>0</v>
      </c>
      <c r="F96" s="11">
        <f t="shared" si="5"/>
        <v>-13364000000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514</v>
      </c>
      <c r="E97" s="11">
        <f t="shared" si="4"/>
        <v>0</v>
      </c>
      <c r="F97" s="11">
        <f t="shared" si="5"/>
        <v>-13364000000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514</v>
      </c>
      <c r="E98" s="11">
        <f t="shared" si="4"/>
        <v>1</v>
      </c>
      <c r="F98" s="11">
        <f t="shared" si="5"/>
        <v>13338000000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514</v>
      </c>
      <c r="E99" s="11">
        <f t="shared" si="4"/>
        <v>0</v>
      </c>
      <c r="F99" s="11">
        <f t="shared" si="5"/>
        <v>-102800000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512</v>
      </c>
      <c r="E100" s="11">
        <f t="shared" si="4"/>
        <v>1</v>
      </c>
      <c r="F100" s="11">
        <f t="shared" si="5"/>
        <v>14921200000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507</v>
      </c>
      <c r="E101" s="11">
        <f t="shared" si="4"/>
        <v>1</v>
      </c>
      <c r="F101" s="11">
        <f t="shared" si="5"/>
        <v>202372170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506</v>
      </c>
      <c r="E102" s="11">
        <f t="shared" si="4"/>
        <v>1</v>
      </c>
      <c r="F102" s="11">
        <f t="shared" si="5"/>
        <v>1010000000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505</v>
      </c>
      <c r="E103" s="11">
        <f t="shared" si="4"/>
        <v>1</v>
      </c>
      <c r="F103" s="11">
        <f t="shared" si="5"/>
        <v>3780000000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505</v>
      </c>
      <c r="E104" s="11">
        <f t="shared" si="4"/>
        <v>0</v>
      </c>
      <c r="F104" s="11">
        <f t="shared" si="5"/>
        <v>-33330000000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505</v>
      </c>
      <c r="E105" s="11">
        <f t="shared" si="4"/>
        <v>0</v>
      </c>
      <c r="F105" s="11">
        <f t="shared" si="5"/>
        <v>-73225000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503</v>
      </c>
      <c r="E106" s="11">
        <f t="shared" si="4"/>
        <v>1</v>
      </c>
      <c r="F106" s="11">
        <f t="shared" si="5"/>
        <v>3012000000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501</v>
      </c>
      <c r="E107" s="11">
        <f t="shared" si="4"/>
        <v>0</v>
      </c>
      <c r="F107" s="11">
        <f t="shared" si="5"/>
        <v>-3008955900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498</v>
      </c>
      <c r="E108" s="11">
        <f t="shared" si="4"/>
        <v>1</v>
      </c>
      <c r="F108" s="11">
        <f t="shared" si="5"/>
        <v>2982000000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486</v>
      </c>
      <c r="E109" s="11">
        <f t="shared" si="4"/>
        <v>0</v>
      </c>
      <c r="F109" s="11">
        <f t="shared" si="5"/>
        <v>-58320000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485</v>
      </c>
      <c r="E110" s="11">
        <f t="shared" si="4"/>
        <v>1</v>
      </c>
      <c r="F110" s="11">
        <f t="shared" si="5"/>
        <v>1936000000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484</v>
      </c>
      <c r="E111" s="11">
        <f t="shared" si="4"/>
        <v>1</v>
      </c>
      <c r="F111" s="11">
        <f t="shared" si="5"/>
        <v>1352400000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480</v>
      </c>
      <c r="E112" s="11">
        <f t="shared" si="4"/>
        <v>0</v>
      </c>
      <c r="F112" s="11">
        <f t="shared" si="5"/>
        <v>-96000000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479</v>
      </c>
      <c r="E113" s="11">
        <f t="shared" si="4"/>
        <v>1</v>
      </c>
      <c r="F113" s="11">
        <f t="shared" si="5"/>
        <v>34564180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462</v>
      </c>
      <c r="E114" s="11">
        <f t="shared" si="4"/>
        <v>0</v>
      </c>
      <c r="F114" s="11">
        <f t="shared" si="5"/>
        <v>-92400000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461</v>
      </c>
      <c r="E115" s="11">
        <f t="shared" si="4"/>
        <v>0</v>
      </c>
      <c r="F115" s="23">
        <f t="shared" si="5"/>
        <v>-5071000000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461</v>
      </c>
      <c r="E116" s="11">
        <f t="shared" si="4"/>
        <v>0</v>
      </c>
      <c r="F116" s="11">
        <f t="shared" si="5"/>
        <v>-92200000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459</v>
      </c>
      <c r="E117" s="11">
        <f t="shared" si="4"/>
        <v>0</v>
      </c>
      <c r="F117" s="11">
        <f t="shared" si="5"/>
        <v>-206779500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459</v>
      </c>
      <c r="E118" s="11">
        <f t="shared" si="4"/>
        <v>0</v>
      </c>
      <c r="F118" s="11">
        <f t="shared" si="5"/>
        <v>-91800000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453</v>
      </c>
      <c r="E119" s="11">
        <f t="shared" si="4"/>
        <v>0</v>
      </c>
      <c r="F119" s="11">
        <f t="shared" si="5"/>
        <v>-70011150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453</v>
      </c>
      <c r="E120" s="11">
        <f t="shared" si="4"/>
        <v>0</v>
      </c>
      <c r="F120" s="11">
        <f t="shared" si="5"/>
        <v>-144960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452</v>
      </c>
      <c r="E121" s="11">
        <f t="shared" si="4"/>
        <v>0</v>
      </c>
      <c r="F121" s="11">
        <f t="shared" si="5"/>
        <v>-195264000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446</v>
      </c>
      <c r="E122" s="11">
        <f t="shared" si="4"/>
        <v>1</v>
      </c>
      <c r="F122" s="11">
        <f t="shared" si="5"/>
        <v>32949135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425</v>
      </c>
      <c r="E123" s="11">
        <f t="shared" si="4"/>
        <v>0</v>
      </c>
      <c r="F123" s="11">
        <f t="shared" si="5"/>
        <v>-22100000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384</v>
      </c>
      <c r="E124" s="11">
        <f t="shared" si="4"/>
        <v>1</v>
      </c>
      <c r="F124" s="11">
        <f t="shared" si="5"/>
        <v>454621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383</v>
      </c>
      <c r="E125" s="11">
        <f t="shared" si="4"/>
        <v>1</v>
      </c>
      <c r="F125" s="11">
        <f t="shared" si="5"/>
        <v>916800000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381</v>
      </c>
      <c r="E126" s="11">
        <f t="shared" si="4"/>
        <v>1</v>
      </c>
      <c r="F126" s="11">
        <f t="shared" si="5"/>
        <v>510264000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381</v>
      </c>
      <c r="E127" s="11">
        <f t="shared" si="4"/>
        <v>1</v>
      </c>
      <c r="F127" s="11">
        <f t="shared" si="5"/>
        <v>510264000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369</v>
      </c>
      <c r="E128" s="11">
        <f t="shared" si="4"/>
        <v>0</v>
      </c>
      <c r="F128" s="11">
        <f t="shared" si="5"/>
        <v>-73800000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367</v>
      </c>
      <c r="E129" s="11">
        <f t="shared" si="4"/>
        <v>0</v>
      </c>
      <c r="F129" s="11">
        <f>B129*(D129-E129)</f>
        <v>-5731806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366</v>
      </c>
      <c r="E130" s="11">
        <f t="shared" si="4"/>
        <v>0</v>
      </c>
      <c r="F130" s="11">
        <f t="shared" si="5"/>
        <v>-73200000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365</v>
      </c>
      <c r="E131" s="11">
        <f t="shared" ref="E131:E262" si="7">IF(B131&gt;0,1,0)</f>
        <v>0</v>
      </c>
      <c r="F131" s="11">
        <f t="shared" si="5"/>
        <v>-73000000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364</v>
      </c>
      <c r="E132" s="11">
        <f t="shared" si="7"/>
        <v>0</v>
      </c>
      <c r="F132" s="11">
        <f t="shared" si="5"/>
        <v>-141960000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364</v>
      </c>
      <c r="E133" s="11">
        <f t="shared" si="7"/>
        <v>0</v>
      </c>
      <c r="F133" s="11">
        <f t="shared" si="5"/>
        <v>-8918000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363</v>
      </c>
      <c r="E134" s="11">
        <f t="shared" si="7"/>
        <v>0</v>
      </c>
      <c r="F134" s="11">
        <f t="shared" si="5"/>
        <v>-34485000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359</v>
      </c>
      <c r="E135" s="11">
        <f t="shared" si="7"/>
        <v>0</v>
      </c>
      <c r="F135" s="11">
        <f t="shared" si="5"/>
        <v>-71800000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357</v>
      </c>
      <c r="E136" s="11">
        <f t="shared" si="7"/>
        <v>1</v>
      </c>
      <c r="F136" s="11">
        <f t="shared" si="5"/>
        <v>17800000000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356</v>
      </c>
      <c r="E137" s="11">
        <f t="shared" si="7"/>
        <v>1</v>
      </c>
      <c r="F137" s="11">
        <f t="shared" si="5"/>
        <v>4260000000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354</v>
      </c>
      <c r="E138" s="11">
        <f t="shared" si="7"/>
        <v>1</v>
      </c>
      <c r="F138" s="11">
        <f t="shared" si="5"/>
        <v>706000000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353</v>
      </c>
      <c r="E139" s="11">
        <f t="shared" si="7"/>
        <v>1</v>
      </c>
      <c r="F139" s="11">
        <f t="shared" si="5"/>
        <v>30813376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340</v>
      </c>
      <c r="E140" s="11">
        <f t="shared" si="7"/>
        <v>0</v>
      </c>
      <c r="F140" s="11">
        <f t="shared" si="5"/>
        <v>-1020306000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339</v>
      </c>
      <c r="E141" s="11">
        <f t="shared" si="7"/>
        <v>0</v>
      </c>
      <c r="F141" s="11">
        <f t="shared" si="5"/>
        <v>-1017305100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322</v>
      </c>
      <c r="E142" s="11">
        <f t="shared" si="7"/>
        <v>1</v>
      </c>
      <c r="F142" s="11">
        <f t="shared" si="5"/>
        <v>193250025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322</v>
      </c>
      <c r="E143" s="11">
        <f t="shared" si="7"/>
        <v>0</v>
      </c>
      <c r="F143" s="11">
        <f t="shared" si="5"/>
        <v>-14812000000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291</v>
      </c>
      <c r="E144" s="11">
        <f t="shared" si="7"/>
        <v>1</v>
      </c>
      <c r="F144" s="11">
        <f t="shared" si="5"/>
        <v>44691030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290</v>
      </c>
      <c r="E145" s="11">
        <f t="shared" si="7"/>
        <v>1</v>
      </c>
      <c r="F145" s="11">
        <f t="shared" si="5"/>
        <v>867000000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287</v>
      </c>
      <c r="E146" s="11">
        <f t="shared" si="7"/>
        <v>0</v>
      </c>
      <c r="F146" s="11">
        <f t="shared" si="5"/>
        <v>-57400000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282</v>
      </c>
      <c r="E147" s="11">
        <f t="shared" si="7"/>
        <v>0</v>
      </c>
      <c r="F147" s="11">
        <f t="shared" si="5"/>
        <v>-56400000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281</v>
      </c>
      <c r="E148" s="11">
        <f t="shared" si="7"/>
        <v>0</v>
      </c>
      <c r="F148" s="11">
        <f t="shared" si="5"/>
        <v>-56200000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277</v>
      </c>
      <c r="E149" s="11">
        <f t="shared" si="7"/>
        <v>0</v>
      </c>
      <c r="F149" s="11">
        <f t="shared" si="5"/>
        <v>-55400000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276</v>
      </c>
      <c r="E150" s="11">
        <f t="shared" si="7"/>
        <v>1</v>
      </c>
      <c r="F150" s="11">
        <f t="shared" si="5"/>
        <v>6620185000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274</v>
      </c>
      <c r="E151" s="11">
        <f t="shared" si="7"/>
        <v>0</v>
      </c>
      <c r="F151" s="11">
        <f t="shared" si="5"/>
        <v>-54800000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268</v>
      </c>
      <c r="E152" s="11">
        <f t="shared" si="7"/>
        <v>0</v>
      </c>
      <c r="F152" s="11">
        <f t="shared" si="5"/>
        <v>-8040000000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267</v>
      </c>
      <c r="E153" s="11">
        <f t="shared" si="7"/>
        <v>0</v>
      </c>
      <c r="F153" s="11">
        <f t="shared" si="5"/>
        <v>-13884000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267</v>
      </c>
      <c r="E154" s="11">
        <f t="shared" si="7"/>
        <v>0</v>
      </c>
      <c r="F154" s="11">
        <f t="shared" si="5"/>
        <v>-36312000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262</v>
      </c>
      <c r="E155" s="11">
        <f t="shared" si="7"/>
        <v>1</v>
      </c>
      <c r="F155" s="11">
        <f t="shared" si="5"/>
        <v>783000000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261</v>
      </c>
      <c r="E156" s="11">
        <f t="shared" si="7"/>
        <v>1</v>
      </c>
      <c r="F156" s="11">
        <f t="shared" si="5"/>
        <v>49166780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261</v>
      </c>
      <c r="E157" s="11">
        <f t="shared" si="7"/>
        <v>1</v>
      </c>
      <c r="F157" s="11">
        <f t="shared" si="5"/>
        <v>6299202000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253</v>
      </c>
      <c r="E158" s="11">
        <f t="shared" si="7"/>
        <v>1</v>
      </c>
      <c r="F158" s="11">
        <f t="shared" si="5"/>
        <v>6122390400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253</v>
      </c>
      <c r="E159" s="11">
        <f t="shared" si="7"/>
        <v>0</v>
      </c>
      <c r="F159" s="11">
        <f t="shared" si="5"/>
        <v>-50853000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248</v>
      </c>
      <c r="E160" s="11">
        <f t="shared" si="7"/>
        <v>0</v>
      </c>
      <c r="F160" s="11">
        <f t="shared" si="5"/>
        <v>-49600000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245</v>
      </c>
      <c r="E161" s="11">
        <f t="shared" si="7"/>
        <v>0</v>
      </c>
      <c r="F161" s="11">
        <f t="shared" si="5"/>
        <v>-49000000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241</v>
      </c>
      <c r="E162" s="11">
        <f t="shared" si="7"/>
        <v>0</v>
      </c>
      <c r="F162" s="11">
        <f t="shared" si="5"/>
        <v>-48200000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238</v>
      </c>
      <c r="E163" s="11">
        <f t="shared" si="7"/>
        <v>0</v>
      </c>
      <c r="F163" s="11">
        <f t="shared" si="5"/>
        <v>-47600000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231</v>
      </c>
      <c r="E164" s="11">
        <f t="shared" si="7"/>
        <v>1</v>
      </c>
      <c r="F164" s="11">
        <f t="shared" si="5"/>
        <v>105265020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228</v>
      </c>
      <c r="E165" s="11">
        <f t="shared" si="7"/>
        <v>1</v>
      </c>
      <c r="F165" s="11">
        <f t="shared" si="5"/>
        <v>612900000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228</v>
      </c>
      <c r="E166" s="11">
        <f t="shared" si="7"/>
        <v>1</v>
      </c>
      <c r="F166" s="11">
        <f t="shared" si="5"/>
        <v>567500000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221</v>
      </c>
      <c r="E167" s="11">
        <f t="shared" si="7"/>
        <v>0</v>
      </c>
      <c r="F167" s="11">
        <f t="shared" si="5"/>
        <v>-44200000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219</v>
      </c>
      <c r="E168" s="11">
        <f t="shared" si="7"/>
        <v>0</v>
      </c>
      <c r="F168" s="11">
        <f t="shared" si="5"/>
        <v>-43800000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213</v>
      </c>
      <c r="E169" s="11">
        <f t="shared" si="7"/>
        <v>0</v>
      </c>
      <c r="F169" s="11">
        <f t="shared" si="5"/>
        <v>-42600000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210</v>
      </c>
      <c r="E170" s="11">
        <f t="shared" si="7"/>
        <v>0</v>
      </c>
      <c r="F170" s="11">
        <f t="shared" si="5"/>
        <v>-42000000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210</v>
      </c>
      <c r="E171" s="11">
        <f t="shared" si="7"/>
        <v>1</v>
      </c>
      <c r="F171" s="11">
        <f t="shared" si="5"/>
        <v>627000000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207</v>
      </c>
      <c r="E172" s="11">
        <f t="shared" si="7"/>
        <v>0</v>
      </c>
      <c r="F172" s="11">
        <f t="shared" si="5"/>
        <v>-41400000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206</v>
      </c>
      <c r="E173" s="11">
        <f t="shared" si="7"/>
        <v>1</v>
      </c>
      <c r="F173" s="11">
        <f t="shared" si="5"/>
        <v>615000000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205</v>
      </c>
      <c r="E174" s="11">
        <f t="shared" si="7"/>
        <v>1</v>
      </c>
      <c r="F174" s="11">
        <f t="shared" si="5"/>
        <v>408000000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204</v>
      </c>
      <c r="E175" s="11">
        <f t="shared" si="7"/>
        <v>1</v>
      </c>
      <c r="F175" s="11">
        <f t="shared" si="5"/>
        <v>263900000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202</v>
      </c>
      <c r="E176" s="11">
        <f t="shared" si="7"/>
        <v>0</v>
      </c>
      <c r="F176" s="11">
        <f t="shared" si="5"/>
        <v>-40400000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202</v>
      </c>
      <c r="E177" s="11">
        <f t="shared" si="7"/>
        <v>1</v>
      </c>
      <c r="F177" s="11">
        <f t="shared" si="5"/>
        <v>341700000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201</v>
      </c>
      <c r="E178" s="11">
        <f t="shared" si="7"/>
        <v>0</v>
      </c>
      <c r="F178" s="11">
        <f t="shared" si="5"/>
        <v>-40200000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200</v>
      </c>
      <c r="E179" s="11">
        <f t="shared" si="7"/>
        <v>1</v>
      </c>
      <c r="F179" s="11">
        <f t="shared" si="5"/>
        <v>113726908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197</v>
      </c>
      <c r="E180" s="11">
        <f t="shared" si="7"/>
        <v>1</v>
      </c>
      <c r="F180" s="11">
        <f t="shared" si="5"/>
        <v>588000000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190</v>
      </c>
      <c r="E181" s="11">
        <f t="shared" si="7"/>
        <v>1</v>
      </c>
      <c r="F181" s="11">
        <f t="shared" si="5"/>
        <v>378000000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182</v>
      </c>
      <c r="E182" s="11">
        <f t="shared" si="7"/>
        <v>0</v>
      </c>
      <c r="F182" s="11">
        <f t="shared" si="5"/>
        <v>-400527400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170</v>
      </c>
      <c r="E183" s="11">
        <f t="shared" si="7"/>
        <v>1</v>
      </c>
      <c r="F183" s="11">
        <f t="shared" si="5"/>
        <v>114089703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140</v>
      </c>
      <c r="E184" s="11">
        <f t="shared" si="7"/>
        <v>1</v>
      </c>
      <c r="F184" s="11">
        <f t="shared" si="5"/>
        <v>94103000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125</v>
      </c>
      <c r="E185" s="11">
        <f t="shared" si="7"/>
        <v>0</v>
      </c>
      <c r="F185" s="11">
        <f t="shared" si="5"/>
        <v>-1250000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120</v>
      </c>
      <c r="E186" s="11">
        <f t="shared" si="7"/>
        <v>0</v>
      </c>
      <c r="F186" s="11">
        <f t="shared" si="5"/>
        <v>-9660000000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115</v>
      </c>
      <c r="E187" s="11">
        <f t="shared" si="7"/>
        <v>0</v>
      </c>
      <c r="F187" s="11">
        <f t="shared" si="5"/>
        <v>-126500000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115</v>
      </c>
      <c r="E188" s="11">
        <f t="shared" si="7"/>
        <v>1</v>
      </c>
      <c r="F188" s="11">
        <f t="shared" si="5"/>
        <v>342000000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114</v>
      </c>
      <c r="E189" s="11">
        <f t="shared" si="7"/>
        <v>1</v>
      </c>
      <c r="F189" s="11">
        <f t="shared" si="5"/>
        <v>226000000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114</v>
      </c>
      <c r="E190" s="11">
        <f t="shared" si="7"/>
        <v>0</v>
      </c>
      <c r="F190" s="11">
        <f t="shared" si="5"/>
        <v>-570000000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113</v>
      </c>
      <c r="E191" s="11">
        <f t="shared" si="7"/>
        <v>1</v>
      </c>
      <c r="F191" s="11">
        <f t="shared" si="5"/>
        <v>54123776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109</v>
      </c>
      <c r="E192" s="11">
        <f t="shared" si="7"/>
        <v>0</v>
      </c>
      <c r="F192" s="11">
        <f t="shared" si="5"/>
        <v>-12567700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105</v>
      </c>
      <c r="E193" s="11">
        <f t="shared" si="7"/>
        <v>1</v>
      </c>
      <c r="F193" s="11">
        <f t="shared" si="5"/>
        <v>9360000000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98</v>
      </c>
      <c r="E194" s="11">
        <f t="shared" si="7"/>
        <v>1</v>
      </c>
      <c r="F194" s="11">
        <f t="shared" si="5"/>
        <v>5044000000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98</v>
      </c>
      <c r="E195" s="11">
        <f t="shared" si="7"/>
        <v>1</v>
      </c>
      <c r="F195" s="105">
        <f t="shared" si="5"/>
        <v>2425000000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98</v>
      </c>
      <c r="E196" s="105">
        <f t="shared" si="7"/>
        <v>0</v>
      </c>
      <c r="F196" s="105">
        <f t="shared" si="5"/>
        <v>-16464000000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91</v>
      </c>
      <c r="E197" s="105">
        <f t="shared" si="7"/>
        <v>0</v>
      </c>
      <c r="F197" s="105">
        <f t="shared" si="5"/>
        <v>-15060500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87</v>
      </c>
      <c r="E198" s="105">
        <f t="shared" si="7"/>
        <v>0</v>
      </c>
      <c r="F198" s="105">
        <f t="shared" si="5"/>
        <v>-17400000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87</v>
      </c>
      <c r="E199" s="105">
        <f t="shared" si="7"/>
        <v>0</v>
      </c>
      <c r="F199" s="105">
        <f t="shared" si="5"/>
        <v>-4087347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84</v>
      </c>
      <c r="E200" s="105">
        <f t="shared" si="7"/>
        <v>0</v>
      </c>
      <c r="F200" s="105">
        <f t="shared" si="5"/>
        <v>-390600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82</v>
      </c>
      <c r="E201" s="105">
        <f t="shared" si="7"/>
        <v>1</v>
      </c>
      <c r="F201" s="105">
        <f t="shared" si="5"/>
        <v>12946068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79</v>
      </c>
      <c r="E202" s="105">
        <f t="shared" si="7"/>
        <v>0</v>
      </c>
      <c r="F202" s="105">
        <f t="shared" si="5"/>
        <v>-23739500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79</v>
      </c>
      <c r="E203" s="105">
        <f t="shared" si="7"/>
        <v>1</v>
      </c>
      <c r="F203" s="105">
        <f t="shared" si="5"/>
        <v>468000000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77</v>
      </c>
      <c r="E204" s="105">
        <f t="shared" si="7"/>
        <v>0</v>
      </c>
      <c r="F204" s="105">
        <f t="shared" si="5"/>
        <v>-52745000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76</v>
      </c>
      <c r="E205" s="105">
        <f t="shared" si="7"/>
        <v>0</v>
      </c>
      <c r="F205" s="105">
        <f t="shared" si="5"/>
        <v>-228000000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75</v>
      </c>
      <c r="E206" s="105">
        <f t="shared" si="7"/>
        <v>0</v>
      </c>
      <c r="F206" s="105">
        <f t="shared" si="5"/>
        <v>-11700000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74</v>
      </c>
      <c r="E207" s="105">
        <f t="shared" si="7"/>
        <v>0</v>
      </c>
      <c r="F207" s="105">
        <f t="shared" si="5"/>
        <v>-4884000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73</v>
      </c>
      <c r="E208" s="105">
        <f t="shared" si="7"/>
        <v>0</v>
      </c>
      <c r="F208" s="105">
        <f t="shared" si="5"/>
        <v>-182565700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71</v>
      </c>
      <c r="E209" s="105">
        <f t="shared" si="7"/>
        <v>1</v>
      </c>
      <c r="F209" s="105">
        <f t="shared" si="5"/>
        <v>210000000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71</v>
      </c>
      <c r="E210" s="105">
        <f t="shared" si="7"/>
        <v>0</v>
      </c>
      <c r="F210" s="105">
        <f t="shared" si="5"/>
        <v>-184699400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69</v>
      </c>
      <c r="E211" s="105">
        <f t="shared" si="7"/>
        <v>1</v>
      </c>
      <c r="F211" s="105">
        <f t="shared" si="5"/>
        <v>68000000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67</v>
      </c>
      <c r="E212" s="105">
        <f t="shared" si="7"/>
        <v>1</v>
      </c>
      <c r="F212" s="105">
        <f t="shared" si="5"/>
        <v>89100000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66</v>
      </c>
      <c r="E213" s="105">
        <f t="shared" si="7"/>
        <v>0</v>
      </c>
      <c r="F213" s="105">
        <f t="shared" si="5"/>
        <v>-145200000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66</v>
      </c>
      <c r="E214" s="105">
        <f t="shared" si="7"/>
        <v>0</v>
      </c>
      <c r="F214" s="105">
        <f t="shared" si="5"/>
        <v>-33033000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63</v>
      </c>
      <c r="E215" s="105">
        <f t="shared" si="7"/>
        <v>0</v>
      </c>
      <c r="F215" s="105">
        <f t="shared" si="5"/>
        <v>-2835000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63</v>
      </c>
      <c r="E216" s="105">
        <f t="shared" si="7"/>
        <v>1</v>
      </c>
      <c r="F216" s="105">
        <f t="shared" si="5"/>
        <v>62000000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63</v>
      </c>
      <c r="E217" s="105">
        <f t="shared" si="7"/>
        <v>0</v>
      </c>
      <c r="F217" s="105">
        <f t="shared" si="5"/>
        <v>-6300000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62</v>
      </c>
      <c r="E218" s="105">
        <f t="shared" si="7"/>
        <v>0</v>
      </c>
      <c r="F218" s="105">
        <f t="shared" si="5"/>
        <v>-18600000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59</v>
      </c>
      <c r="E219" s="105">
        <f t="shared" si="7"/>
        <v>0</v>
      </c>
      <c r="F219" s="105">
        <f t="shared" si="5"/>
        <v>-3003690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59</v>
      </c>
      <c r="E220" s="105">
        <f t="shared" si="7"/>
        <v>0</v>
      </c>
      <c r="F220" s="105">
        <f t="shared" si="5"/>
        <v>-32479500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57</v>
      </c>
      <c r="E221" s="105">
        <f t="shared" si="7"/>
        <v>1</v>
      </c>
      <c r="F221" s="105">
        <f t="shared" si="5"/>
        <v>89600000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56</v>
      </c>
      <c r="E222" s="105">
        <f t="shared" si="7"/>
        <v>0</v>
      </c>
      <c r="F222" s="105">
        <f t="shared" si="5"/>
        <v>-84039200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51</v>
      </c>
      <c r="E223" s="105">
        <f t="shared" si="7"/>
        <v>1</v>
      </c>
      <c r="F223" s="105">
        <f t="shared" si="5"/>
        <v>430950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48</v>
      </c>
      <c r="E224" s="105">
        <f t="shared" si="7"/>
        <v>1</v>
      </c>
      <c r="F224" s="105">
        <f t="shared" si="5"/>
        <v>141000000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46</v>
      </c>
      <c r="E225" s="105">
        <f t="shared" si="7"/>
        <v>0</v>
      </c>
      <c r="F225" s="105">
        <f t="shared" si="5"/>
        <v>-138041400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45</v>
      </c>
      <c r="E226" s="105">
        <f t="shared" si="7"/>
        <v>1</v>
      </c>
      <c r="F226" s="105">
        <f t="shared" si="5"/>
        <v>132000000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45</v>
      </c>
      <c r="E227" s="105">
        <f t="shared" si="7"/>
        <v>0</v>
      </c>
      <c r="F227" s="105">
        <f t="shared" si="5"/>
        <v>-7893000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44</v>
      </c>
      <c r="E228" s="105">
        <f t="shared" si="7"/>
        <v>0</v>
      </c>
      <c r="F228" s="105">
        <f t="shared" si="5"/>
        <v>-52822000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44</v>
      </c>
      <c r="E229" s="105">
        <f t="shared" si="7"/>
        <v>0</v>
      </c>
      <c r="F229" s="105">
        <f t="shared" si="5"/>
        <v>-904420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43</v>
      </c>
      <c r="E230" s="105">
        <f t="shared" si="7"/>
        <v>0</v>
      </c>
      <c r="F230" s="105">
        <f t="shared" si="5"/>
        <v>-43622038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42</v>
      </c>
      <c r="E231" s="105">
        <f t="shared" si="7"/>
        <v>0</v>
      </c>
      <c r="F231" s="105">
        <f t="shared" si="5"/>
        <v>-1017450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41</v>
      </c>
      <c r="E232" s="105">
        <f t="shared" si="7"/>
        <v>1</v>
      </c>
      <c r="F232" s="105">
        <f t="shared" si="5"/>
        <v>44000000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41</v>
      </c>
      <c r="E233" s="105">
        <f t="shared" si="7"/>
        <v>0</v>
      </c>
      <c r="F233" s="105">
        <f t="shared" si="5"/>
        <v>-6063900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37</v>
      </c>
      <c r="E234" s="105">
        <f t="shared" si="7"/>
        <v>0</v>
      </c>
      <c r="F234" s="105">
        <f t="shared" si="5"/>
        <v>-2514705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32</v>
      </c>
      <c r="E235" s="105">
        <f t="shared" si="7"/>
        <v>0</v>
      </c>
      <c r="F235" s="105">
        <f t="shared" si="5"/>
        <v>-3671488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31</v>
      </c>
      <c r="E236" s="105">
        <f t="shared" si="7"/>
        <v>0</v>
      </c>
      <c r="F236" s="105">
        <f t="shared" si="5"/>
        <v>-11160000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31</v>
      </c>
      <c r="E237" s="105">
        <f t="shared" si="7"/>
        <v>0</v>
      </c>
      <c r="F237" s="105">
        <f t="shared" si="5"/>
        <v>-6541000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31</v>
      </c>
      <c r="E238" s="105">
        <f t="shared" si="7"/>
        <v>0</v>
      </c>
      <c r="F238" s="105">
        <f t="shared" si="5"/>
        <v>-5880700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30</v>
      </c>
      <c r="E239" s="105">
        <f t="shared" si="7"/>
        <v>0</v>
      </c>
      <c r="F239" s="105">
        <f t="shared" si="5"/>
        <v>-12015000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30</v>
      </c>
      <c r="E240" s="105">
        <f t="shared" si="7"/>
        <v>1</v>
      </c>
      <c r="F240" s="105">
        <f t="shared" si="5"/>
        <v>11600000</v>
      </c>
      <c r="G240" s="105" t="s">
        <v>3829</v>
      </c>
    </row>
    <row r="241" spans="1:7">
      <c r="A241" s="105" t="s">
        <v>3845</v>
      </c>
      <c r="B241" s="119">
        <v>-320875</v>
      </c>
      <c r="C241" s="105">
        <v>7</v>
      </c>
      <c r="D241" s="105">
        <f t="shared" si="8"/>
        <v>27</v>
      </c>
      <c r="E241" s="105">
        <f t="shared" si="7"/>
        <v>0</v>
      </c>
      <c r="F241" s="105">
        <f t="shared" si="5"/>
        <v>-8663625</v>
      </c>
      <c r="G241" s="105" t="s">
        <v>3846</v>
      </c>
    </row>
    <row r="242" spans="1:7">
      <c r="A242" s="105" t="s">
        <v>3855</v>
      </c>
      <c r="B242" s="119">
        <v>6074</v>
      </c>
      <c r="C242" s="105">
        <v>2</v>
      </c>
      <c r="D242" s="105">
        <f t="shared" si="8"/>
        <v>20</v>
      </c>
      <c r="E242" s="105">
        <f t="shared" si="7"/>
        <v>1</v>
      </c>
      <c r="F242" s="105">
        <f t="shared" si="5"/>
        <v>115406</v>
      </c>
      <c r="G242" s="105" t="s">
        <v>585</v>
      </c>
    </row>
    <row r="243" spans="1:7">
      <c r="A243" s="105" t="s">
        <v>3857</v>
      </c>
      <c r="B243" s="119">
        <v>-370500</v>
      </c>
      <c r="C243" s="105">
        <v>15</v>
      </c>
      <c r="D243" s="105">
        <f t="shared" si="8"/>
        <v>18</v>
      </c>
      <c r="E243" s="105">
        <f t="shared" si="7"/>
        <v>0</v>
      </c>
      <c r="F243" s="105">
        <f t="shared" si="5"/>
        <v>-6669000</v>
      </c>
      <c r="G243" s="105" t="s">
        <v>3858</v>
      </c>
    </row>
    <row r="244" spans="1:7">
      <c r="A244" s="105" t="s">
        <v>3972</v>
      </c>
      <c r="B244" s="119">
        <v>3000000</v>
      </c>
      <c r="C244" s="105">
        <v>2</v>
      </c>
      <c r="D244" s="105">
        <f t="shared" si="8"/>
        <v>3</v>
      </c>
      <c r="E244" s="105">
        <f t="shared" si="7"/>
        <v>1</v>
      </c>
      <c r="F244" s="105">
        <f t="shared" si="5"/>
        <v>6000000</v>
      </c>
      <c r="G244" s="105" t="s">
        <v>3973</v>
      </c>
    </row>
    <row r="245" spans="1:7">
      <c r="A245" s="105" t="s">
        <v>3984</v>
      </c>
      <c r="B245" s="119">
        <v>-80000</v>
      </c>
      <c r="C245" s="105">
        <v>1</v>
      </c>
      <c r="D245" s="105">
        <f t="shared" si="8"/>
        <v>1</v>
      </c>
      <c r="E245" s="105">
        <f t="shared" si="7"/>
        <v>0</v>
      </c>
      <c r="F245" s="105">
        <f t="shared" si="5"/>
        <v>-80000</v>
      </c>
      <c r="G245" s="105" t="s">
        <v>502</v>
      </c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2935107</v>
      </c>
      <c r="C263" s="11"/>
      <c r="D263" s="11"/>
      <c r="E263" s="11"/>
      <c r="F263" s="29">
        <f>SUM(F2:F261)</f>
        <v>18818704320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24439875.740259741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3875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3876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3877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3878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3879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3880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3881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3882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3883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3884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3885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3886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3887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3888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3889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3890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3891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3892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3893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3894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3895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3896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3897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3898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3899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3900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3901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3902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3903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3904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3905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3906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3907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3908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3909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3910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3911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3912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3913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3914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3915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3916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3917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9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578</v>
      </c>
      <c r="F2" s="11">
        <f>IF(B2&gt;0,1,0)</f>
        <v>1</v>
      </c>
      <c r="G2" s="11">
        <f>B2*(E2-F2)</f>
        <v>28850000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574</v>
      </c>
      <c r="F3" s="11">
        <f t="shared" ref="F3:F38" si="1">IF(B3&gt;0,1,0)</f>
        <v>1</v>
      </c>
      <c r="G3" s="11">
        <f t="shared" ref="G3:G23" si="2">B3*(E3-F3)</f>
        <v>1719000000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573</v>
      </c>
      <c r="F4" s="11">
        <f t="shared" si="1"/>
        <v>1</v>
      </c>
      <c r="G4" s="11">
        <f t="shared" si="2"/>
        <v>1716000000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573</v>
      </c>
      <c r="F5" s="11">
        <f t="shared" si="1"/>
        <v>1</v>
      </c>
      <c r="G5" s="11">
        <f t="shared" si="2"/>
        <v>8580000000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572</v>
      </c>
      <c r="F6" s="11">
        <f t="shared" si="1"/>
        <v>1</v>
      </c>
      <c r="G6" s="11">
        <f t="shared" si="2"/>
        <v>1713000000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571</v>
      </c>
      <c r="F7" s="11">
        <f t="shared" si="1"/>
        <v>0</v>
      </c>
      <c r="G7" s="11">
        <f t="shared" si="2"/>
        <v>-1713000000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571</v>
      </c>
      <c r="F8" s="11">
        <f t="shared" si="1"/>
        <v>0</v>
      </c>
      <c r="G8" s="11">
        <f t="shared" si="2"/>
        <v>-114200000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571</v>
      </c>
      <c r="F9" s="11">
        <f t="shared" si="1"/>
        <v>1</v>
      </c>
      <c r="G9" s="11">
        <f>B9*(E9-F9)</f>
        <v>1710000000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570</v>
      </c>
      <c r="F10" s="11">
        <f t="shared" si="1"/>
        <v>1</v>
      </c>
      <c r="G10" s="11">
        <f t="shared" si="2"/>
        <v>1707000000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570</v>
      </c>
      <c r="F11" s="11">
        <f t="shared" si="1"/>
        <v>1</v>
      </c>
      <c r="G11" s="11">
        <f t="shared" si="2"/>
        <v>14225000000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567</v>
      </c>
      <c r="F12" s="11">
        <f t="shared" si="1"/>
        <v>1</v>
      </c>
      <c r="G12" s="11">
        <f t="shared" si="2"/>
        <v>565054780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567</v>
      </c>
      <c r="F13" s="11">
        <f t="shared" si="1"/>
        <v>1</v>
      </c>
      <c r="G13" s="11">
        <f t="shared" si="2"/>
        <v>1698000000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567</v>
      </c>
      <c r="F14" s="11">
        <f t="shared" si="1"/>
        <v>1</v>
      </c>
      <c r="G14" s="11">
        <f t="shared" si="2"/>
        <v>674160336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555</v>
      </c>
      <c r="F15" s="11">
        <f t="shared" si="1"/>
        <v>1</v>
      </c>
      <c r="G15" s="11">
        <f t="shared" si="2"/>
        <v>1108000000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543</v>
      </c>
      <c r="F16" s="11">
        <f t="shared" si="1"/>
        <v>1</v>
      </c>
      <c r="G16" s="11">
        <f t="shared" si="2"/>
        <v>1626000000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542</v>
      </c>
      <c r="F17" s="11">
        <f t="shared" si="1"/>
        <v>1</v>
      </c>
      <c r="G17" s="11">
        <f t="shared" si="2"/>
        <v>1623000000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541</v>
      </c>
      <c r="F18" s="11">
        <f t="shared" si="1"/>
        <v>1</v>
      </c>
      <c r="G18" s="11">
        <f t="shared" si="2"/>
        <v>1026000000</v>
      </c>
      <c r="K18" t="s">
        <v>3957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526</v>
      </c>
      <c r="F19" s="11">
        <f t="shared" si="1"/>
        <v>1</v>
      </c>
      <c r="G19" s="11">
        <f t="shared" si="2"/>
        <v>422369325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525</v>
      </c>
      <c r="F20" s="11">
        <f t="shared" si="1"/>
        <v>1</v>
      </c>
      <c r="G20" s="11">
        <f t="shared" si="2"/>
        <v>1572000000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519</v>
      </c>
      <c r="F21" s="11">
        <f t="shared" si="1"/>
        <v>1</v>
      </c>
      <c r="G21" s="11">
        <f t="shared" si="2"/>
        <v>259000000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505</v>
      </c>
      <c r="F22" s="11">
        <f t="shared" si="1"/>
        <v>0</v>
      </c>
      <c r="G22" s="11">
        <f t="shared" si="2"/>
        <v>-1515000000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497</v>
      </c>
      <c r="F23" s="11">
        <f t="shared" si="1"/>
        <v>1</v>
      </c>
      <c r="G23" s="11">
        <f t="shared" si="2"/>
        <v>1488000000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497</v>
      </c>
      <c r="F24" s="11">
        <f t="shared" si="1"/>
        <v>1</v>
      </c>
      <c r="G24" s="11">
        <f>B24*(E24-F24)</f>
        <v>312898128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495</v>
      </c>
      <c r="F25" s="11">
        <f t="shared" si="1"/>
        <v>0</v>
      </c>
      <c r="G25" s="11">
        <f t="shared" ref="G25:G30" si="3">B25*(E25-F25)</f>
        <v>-1584445500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493</v>
      </c>
      <c r="F26" s="11">
        <f t="shared" si="1"/>
        <v>0</v>
      </c>
      <c r="G26" s="11">
        <f t="shared" si="3"/>
        <v>-1479443700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491</v>
      </c>
      <c r="F27" s="11">
        <f t="shared" si="1"/>
        <v>1</v>
      </c>
      <c r="G27" s="11">
        <f t="shared" si="3"/>
        <v>490000000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491</v>
      </c>
      <c r="F28" s="11">
        <f t="shared" si="1"/>
        <v>1</v>
      </c>
      <c r="G28" s="11">
        <f t="shared" si="3"/>
        <v>2940000000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491</v>
      </c>
      <c r="F29" s="11">
        <f t="shared" si="1"/>
        <v>1</v>
      </c>
      <c r="G29" s="11">
        <f t="shared" si="3"/>
        <v>2842000000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491</v>
      </c>
      <c r="F30" s="11">
        <f t="shared" si="1"/>
        <v>0</v>
      </c>
      <c r="G30" s="11">
        <f t="shared" si="3"/>
        <v>-2455000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490</v>
      </c>
      <c r="F31" s="11">
        <f t="shared" si="1"/>
        <v>0</v>
      </c>
      <c r="G31" s="11">
        <f>B31*(E31-F31)</f>
        <v>-12740000000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488</v>
      </c>
      <c r="F32" s="11">
        <f t="shared" si="1"/>
        <v>0</v>
      </c>
      <c r="G32" s="11">
        <f>B32*(E32-F32)</f>
        <v>-12785600000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469</v>
      </c>
      <c r="F33" s="11">
        <f t="shared" si="1"/>
        <v>1</v>
      </c>
      <c r="G33" s="11">
        <f>B33*(E33-F33)</f>
        <v>153038340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451</v>
      </c>
      <c r="F34" s="11">
        <f t="shared" si="1"/>
        <v>1</v>
      </c>
      <c r="G34" s="11">
        <f t="shared" ref="G34:G193" si="4">B34*(E34-F34)</f>
        <v>12780000000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451</v>
      </c>
      <c r="F35" s="11">
        <f t="shared" si="1"/>
        <v>1</v>
      </c>
      <c r="G35" s="12">
        <f t="shared" si="4"/>
        <v>4950000000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436</v>
      </c>
      <c r="F36" s="11">
        <f t="shared" si="1"/>
        <v>1</v>
      </c>
      <c r="G36" s="11">
        <f t="shared" si="4"/>
        <v>182134935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436</v>
      </c>
      <c r="F37" s="11">
        <f t="shared" si="1"/>
        <v>0</v>
      </c>
      <c r="G37" s="11">
        <f t="shared" si="4"/>
        <v>-392400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435</v>
      </c>
      <c r="F38" s="11">
        <f t="shared" si="1"/>
        <v>1</v>
      </c>
      <c r="G38" s="12">
        <f t="shared" si="4"/>
        <v>868000000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435</v>
      </c>
      <c r="F39" s="11">
        <f>IF(B39&gt;0,1,0)</f>
        <v>1</v>
      </c>
      <c r="G39" s="11">
        <f t="shared" si="4"/>
        <v>868000000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421</v>
      </c>
      <c r="F40" s="11">
        <f>IF(B40&gt;0,1,0)</f>
        <v>0</v>
      </c>
      <c r="G40" s="11">
        <f t="shared" si="4"/>
        <v>-84200000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421</v>
      </c>
      <c r="F41" s="11">
        <f>IF(B41&gt;0,1,0)</f>
        <v>0</v>
      </c>
      <c r="G41" s="11">
        <f t="shared" si="4"/>
        <v>-261020000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421</v>
      </c>
      <c r="F42" s="11">
        <f t="shared" ref="F42:F193" si="5">IF(B42&gt;0,1,0)</f>
        <v>0</v>
      </c>
      <c r="G42" s="11">
        <f t="shared" si="4"/>
        <v>-50520000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419</v>
      </c>
      <c r="F43" s="11">
        <f t="shared" si="5"/>
        <v>1</v>
      </c>
      <c r="G43" s="11">
        <f t="shared" si="4"/>
        <v>271700000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419</v>
      </c>
      <c r="F44" s="11">
        <f t="shared" si="5"/>
        <v>0</v>
      </c>
      <c r="G44" s="11">
        <f t="shared" si="4"/>
        <v>-2095000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419</v>
      </c>
      <c r="F45" s="11">
        <f t="shared" si="5"/>
        <v>1</v>
      </c>
      <c r="G45" s="11">
        <f t="shared" si="4"/>
        <v>12122000000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415</v>
      </c>
      <c r="F46" s="11">
        <f t="shared" si="5"/>
        <v>0</v>
      </c>
      <c r="G46" s="11">
        <f t="shared" si="4"/>
        <v>-83000000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412</v>
      </c>
      <c r="F47" s="11">
        <f t="shared" si="5"/>
        <v>0</v>
      </c>
      <c r="G47" s="11">
        <f t="shared" si="4"/>
        <v>-82400000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411</v>
      </c>
      <c r="F48" s="11">
        <f t="shared" si="5"/>
        <v>0</v>
      </c>
      <c r="G48" s="11">
        <f t="shared" si="4"/>
        <v>-82200000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406</v>
      </c>
      <c r="F49" s="11">
        <f t="shared" si="5"/>
        <v>1</v>
      </c>
      <c r="G49" s="11">
        <f t="shared" si="4"/>
        <v>1215000000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406</v>
      </c>
      <c r="F50" s="11">
        <f t="shared" si="5"/>
        <v>1</v>
      </c>
      <c r="G50" s="12">
        <f t="shared" si="4"/>
        <v>1215000000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405</v>
      </c>
      <c r="F51" s="11">
        <f t="shared" si="5"/>
        <v>1</v>
      </c>
      <c r="G51" s="11">
        <f t="shared" si="4"/>
        <v>309381988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405</v>
      </c>
      <c r="F52" s="11">
        <f t="shared" si="5"/>
        <v>0</v>
      </c>
      <c r="G52" s="11">
        <f t="shared" si="4"/>
        <v>-81000000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398</v>
      </c>
      <c r="F53" s="11">
        <f t="shared" si="5"/>
        <v>0</v>
      </c>
      <c r="G53" s="11">
        <f t="shared" si="4"/>
        <v>-159399000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389</v>
      </c>
      <c r="F54" s="11">
        <f t="shared" si="5"/>
        <v>0</v>
      </c>
      <c r="G54" s="11">
        <f t="shared" si="4"/>
        <v>-389154044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383</v>
      </c>
      <c r="F55" s="11">
        <f t="shared" si="5"/>
        <v>0</v>
      </c>
      <c r="G55" s="11">
        <f t="shared" si="4"/>
        <v>-15320000000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374</v>
      </c>
      <c r="F56" s="11">
        <f t="shared" si="5"/>
        <v>1</v>
      </c>
      <c r="G56" s="11">
        <f t="shared" si="4"/>
        <v>322888196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347</v>
      </c>
      <c r="F57" s="11">
        <f t="shared" si="5"/>
        <v>0</v>
      </c>
      <c r="G57" s="11">
        <f t="shared" si="4"/>
        <v>-17419400000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346</v>
      </c>
      <c r="F58" s="11">
        <f t="shared" si="5"/>
        <v>0</v>
      </c>
      <c r="G58" s="11">
        <f t="shared" si="4"/>
        <v>-4221373000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343</v>
      </c>
      <c r="F59" s="11">
        <f t="shared" si="5"/>
        <v>1</v>
      </c>
      <c r="G59" s="11">
        <f t="shared" si="4"/>
        <v>182937852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342</v>
      </c>
      <c r="F60" s="11">
        <f t="shared" si="5"/>
        <v>0</v>
      </c>
      <c r="G60" s="11">
        <f t="shared" si="4"/>
        <v>-115596000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340</v>
      </c>
      <c r="F61" s="11">
        <f t="shared" si="5"/>
        <v>0</v>
      </c>
      <c r="G61" s="11">
        <f t="shared" si="4"/>
        <v>-51000000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336</v>
      </c>
      <c r="F62" s="11">
        <f t="shared" si="5"/>
        <v>0</v>
      </c>
      <c r="G62" s="11">
        <f t="shared" si="4"/>
        <v>-33600000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332</v>
      </c>
      <c r="F63" s="11">
        <f t="shared" si="5"/>
        <v>0</v>
      </c>
      <c r="G63" s="11">
        <f t="shared" si="4"/>
        <v>-66400000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332</v>
      </c>
      <c r="F64" s="11">
        <f t="shared" si="5"/>
        <v>0</v>
      </c>
      <c r="G64" s="11">
        <f t="shared" si="4"/>
        <v>-28884000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328</v>
      </c>
      <c r="F65" s="11">
        <f t="shared" si="5"/>
        <v>0</v>
      </c>
      <c r="G65" s="11">
        <f t="shared" si="4"/>
        <v>-9010160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327</v>
      </c>
      <c r="F66" s="11">
        <f t="shared" si="5"/>
        <v>0</v>
      </c>
      <c r="G66" s="11">
        <f t="shared" si="4"/>
        <v>-109218000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322</v>
      </c>
      <c r="F67" s="11">
        <f t="shared" si="5"/>
        <v>0</v>
      </c>
      <c r="G67" s="11">
        <f t="shared" si="4"/>
        <v>-6440000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321</v>
      </c>
      <c r="F68" s="11">
        <f t="shared" si="5"/>
        <v>0</v>
      </c>
      <c r="G68" s="11">
        <f t="shared" si="4"/>
        <v>-96460500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321</v>
      </c>
      <c r="F69" s="11">
        <f t="shared" si="5"/>
        <v>0</v>
      </c>
      <c r="G69" s="11">
        <f t="shared" si="4"/>
        <v>-32100000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316</v>
      </c>
      <c r="F70" s="11">
        <f t="shared" si="5"/>
        <v>0</v>
      </c>
      <c r="G70" s="11">
        <f t="shared" si="4"/>
        <v>-63200000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312</v>
      </c>
      <c r="F71" s="11">
        <f t="shared" si="5"/>
        <v>1</v>
      </c>
      <c r="G71" s="11">
        <f t="shared" si="4"/>
        <v>4785979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312</v>
      </c>
      <c r="F72" s="11">
        <f t="shared" si="5"/>
        <v>1</v>
      </c>
      <c r="G72" s="11">
        <f t="shared" si="4"/>
        <v>1244000000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312</v>
      </c>
      <c r="F73" s="11">
        <f t="shared" si="5"/>
        <v>1</v>
      </c>
      <c r="G73" s="11">
        <f t="shared" si="4"/>
        <v>808600000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312</v>
      </c>
      <c r="F74" s="11">
        <f t="shared" si="5"/>
        <v>1</v>
      </c>
      <c r="G74" s="11">
        <f t="shared" si="4"/>
        <v>933000000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309</v>
      </c>
      <c r="F75" s="11">
        <f t="shared" si="5"/>
        <v>0</v>
      </c>
      <c r="G75" s="11">
        <f t="shared" si="4"/>
        <v>-61800000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306</v>
      </c>
      <c r="F76" s="11">
        <f t="shared" si="5"/>
        <v>0</v>
      </c>
      <c r="G76" s="11">
        <f t="shared" si="4"/>
        <v>-612214200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306</v>
      </c>
      <c r="F77" s="11">
        <f t="shared" si="5"/>
        <v>0</v>
      </c>
      <c r="G77" s="11">
        <f t="shared" si="4"/>
        <v>-61200000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302</v>
      </c>
      <c r="F78" s="11">
        <f t="shared" si="5"/>
        <v>1</v>
      </c>
      <c r="G78" s="11">
        <f t="shared" si="4"/>
        <v>602000000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294</v>
      </c>
      <c r="F79" s="11">
        <f t="shared" si="5"/>
        <v>0</v>
      </c>
      <c r="G79" s="11">
        <f t="shared" si="4"/>
        <v>-294147000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294</v>
      </c>
      <c r="F80" s="11">
        <f t="shared" si="5"/>
        <v>0</v>
      </c>
      <c r="G80" s="11">
        <f t="shared" si="4"/>
        <v>-41733300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291</v>
      </c>
      <c r="F81" s="11">
        <f t="shared" si="5"/>
        <v>0</v>
      </c>
      <c r="G81" s="11">
        <f t="shared" si="4"/>
        <v>-262045500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281</v>
      </c>
      <c r="F82" s="11">
        <f t="shared" si="5"/>
        <v>1</v>
      </c>
      <c r="G82" s="11">
        <f t="shared" si="4"/>
        <v>22750280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259</v>
      </c>
      <c r="F83" s="11">
        <f t="shared" si="5"/>
        <v>1</v>
      </c>
      <c r="G83" s="11">
        <f t="shared" si="4"/>
        <v>12900000000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258</v>
      </c>
      <c r="F84" s="11">
        <f t="shared" si="5"/>
        <v>1</v>
      </c>
      <c r="G84" s="11">
        <f t="shared" si="4"/>
        <v>7710000000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258</v>
      </c>
      <c r="F85" s="11">
        <f t="shared" si="5"/>
        <v>0</v>
      </c>
      <c r="G85" s="11">
        <f t="shared" si="4"/>
        <v>-18705000000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257</v>
      </c>
      <c r="F86" s="11">
        <f t="shared" si="5"/>
        <v>0</v>
      </c>
      <c r="G86" s="11">
        <f t="shared" si="4"/>
        <v>-72217000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252</v>
      </c>
      <c r="F87" s="11">
        <f t="shared" si="5"/>
        <v>1</v>
      </c>
      <c r="G87" s="11">
        <f t="shared" si="4"/>
        <v>627500000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251</v>
      </c>
      <c r="F88" s="11">
        <f t="shared" si="5"/>
        <v>1</v>
      </c>
      <c r="G88" s="11">
        <f t="shared" si="4"/>
        <v>19585000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246</v>
      </c>
      <c r="F89" s="11">
        <f t="shared" si="5"/>
        <v>1</v>
      </c>
      <c r="G89" s="11">
        <f t="shared" si="4"/>
        <v>3675000000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221</v>
      </c>
      <c r="F90" s="11">
        <f t="shared" si="5"/>
        <v>1</v>
      </c>
      <c r="G90" s="11">
        <f t="shared" si="4"/>
        <v>53866120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192</v>
      </c>
      <c r="F91" s="11">
        <f t="shared" si="5"/>
        <v>1</v>
      </c>
      <c r="G91" s="11">
        <f t="shared" si="4"/>
        <v>51981605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162</v>
      </c>
      <c r="F92" s="11">
        <f t="shared" si="5"/>
        <v>1</v>
      </c>
      <c r="G92" s="11">
        <f t="shared" si="4"/>
        <v>483000000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162</v>
      </c>
      <c r="F93" s="11">
        <f t="shared" si="5"/>
        <v>1</v>
      </c>
      <c r="G93" s="11">
        <f t="shared" si="4"/>
        <v>44175985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161</v>
      </c>
      <c r="F94" s="11">
        <f t="shared" si="5"/>
        <v>1</v>
      </c>
      <c r="G94" s="11">
        <f t="shared" si="4"/>
        <v>880000000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160</v>
      </c>
      <c r="F95" s="11">
        <f t="shared" si="5"/>
        <v>1</v>
      </c>
      <c r="G95" s="11">
        <f t="shared" si="4"/>
        <v>477000000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159</v>
      </c>
      <c r="F96" s="11">
        <f t="shared" si="5"/>
        <v>1</v>
      </c>
      <c r="G96" s="11">
        <f t="shared" si="4"/>
        <v>474000000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158</v>
      </c>
      <c r="F97" s="11">
        <f t="shared" si="5"/>
        <v>1</v>
      </c>
      <c r="G97" s="11">
        <f t="shared" si="4"/>
        <v>471000000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157</v>
      </c>
      <c r="F98" s="11">
        <f t="shared" si="5"/>
        <v>1</v>
      </c>
      <c r="G98" s="11">
        <f t="shared" si="4"/>
        <v>468000000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156</v>
      </c>
      <c r="F99" s="11">
        <f t="shared" si="5"/>
        <v>1</v>
      </c>
      <c r="G99" s="11">
        <f t="shared" si="4"/>
        <v>465000000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154</v>
      </c>
      <c r="F100" s="11">
        <f t="shared" si="5"/>
        <v>1</v>
      </c>
      <c r="G100" s="11">
        <f t="shared" si="4"/>
        <v>152923500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153</v>
      </c>
      <c r="F101" s="11">
        <f t="shared" si="5"/>
        <v>0</v>
      </c>
      <c r="G101" s="11">
        <f t="shared" si="4"/>
        <v>-303965100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132</v>
      </c>
      <c r="F102" s="11">
        <f t="shared" si="5"/>
        <v>1</v>
      </c>
      <c r="G102" s="11">
        <f t="shared" si="4"/>
        <v>393000000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132</v>
      </c>
      <c r="F103" s="11">
        <f t="shared" si="5"/>
        <v>1</v>
      </c>
      <c r="G103" s="11">
        <f t="shared" si="4"/>
        <v>38710500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117</v>
      </c>
      <c r="F104" s="11">
        <f t="shared" si="5"/>
        <v>0</v>
      </c>
      <c r="G104" s="11">
        <f t="shared" si="4"/>
        <v>-1170000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111</v>
      </c>
      <c r="F105" s="11">
        <f t="shared" si="5"/>
        <v>1</v>
      </c>
      <c r="G105" s="11">
        <f t="shared" si="4"/>
        <v>219890000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106</v>
      </c>
      <c r="F106" s="11">
        <f t="shared" si="5"/>
        <v>0</v>
      </c>
      <c r="G106" s="11">
        <f t="shared" si="4"/>
        <v>-6360000000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106</v>
      </c>
      <c r="F107" s="11">
        <f t="shared" si="5"/>
        <v>1</v>
      </c>
      <c r="G107" s="11">
        <f t="shared" si="4"/>
        <v>614250000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105</v>
      </c>
      <c r="F108" s="11">
        <f t="shared" si="5"/>
        <v>1</v>
      </c>
      <c r="G108" s="11">
        <f t="shared" si="4"/>
        <v>312000000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104</v>
      </c>
      <c r="F109" s="11">
        <f t="shared" si="5"/>
        <v>1</v>
      </c>
      <c r="G109" s="11">
        <f t="shared" si="4"/>
        <v>206000000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104</v>
      </c>
      <c r="F110" s="11">
        <f t="shared" si="5"/>
        <v>0</v>
      </c>
      <c r="G110" s="11">
        <f t="shared" si="4"/>
        <v>-520000000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103</v>
      </c>
      <c r="F111" s="11">
        <f t="shared" si="5"/>
        <v>1</v>
      </c>
      <c r="G111" s="11">
        <f t="shared" si="4"/>
        <v>42092136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95</v>
      </c>
      <c r="F112" s="11">
        <f t="shared" si="5"/>
        <v>1</v>
      </c>
      <c r="G112" s="11">
        <f t="shared" si="4"/>
        <v>3948000000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88</v>
      </c>
      <c r="F113" s="11">
        <f t="shared" si="5"/>
        <v>0</v>
      </c>
      <c r="G113" s="11">
        <f t="shared" si="4"/>
        <v>-2200000000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87</v>
      </c>
      <c r="F114" s="11">
        <f t="shared" si="5"/>
        <v>0</v>
      </c>
      <c r="G114" s="11">
        <f t="shared" si="4"/>
        <v>-17400000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85</v>
      </c>
      <c r="F115" s="11">
        <f t="shared" si="5"/>
        <v>0</v>
      </c>
      <c r="G115" s="11">
        <f t="shared" si="4"/>
        <v>-1530000000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84</v>
      </c>
      <c r="F116" s="11">
        <f t="shared" si="5"/>
        <v>0</v>
      </c>
      <c r="G116" s="11">
        <f t="shared" si="4"/>
        <v>-210000000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74</v>
      </c>
      <c r="F117" s="11">
        <f t="shared" si="5"/>
        <v>1</v>
      </c>
      <c r="G117" s="11">
        <f t="shared" si="4"/>
        <v>43435000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72</v>
      </c>
      <c r="F118" s="11">
        <f t="shared" si="5"/>
        <v>1</v>
      </c>
      <c r="G118" s="11">
        <f t="shared" si="4"/>
        <v>9750714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70</v>
      </c>
      <c r="F119" s="11">
        <f t="shared" si="5"/>
        <v>0</v>
      </c>
      <c r="G119" s="11">
        <f t="shared" si="4"/>
        <v>-224063000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69</v>
      </c>
      <c r="F120" s="11">
        <f t="shared" si="5"/>
        <v>1</v>
      </c>
      <c r="G120" s="11">
        <f t="shared" si="4"/>
        <v>1106768000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66</v>
      </c>
      <c r="F121" s="11">
        <f t="shared" si="5"/>
        <v>1</v>
      </c>
      <c r="G121" s="105">
        <f t="shared" si="4"/>
        <v>195000000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66</v>
      </c>
      <c r="F122" s="105">
        <f t="shared" si="5"/>
        <v>1</v>
      </c>
      <c r="G122" s="105">
        <f t="shared" si="4"/>
        <v>131300000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66</v>
      </c>
      <c r="F123" s="105">
        <f t="shared" si="5"/>
        <v>1</v>
      </c>
      <c r="G123" s="105">
        <f t="shared" si="4"/>
        <v>323375000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65</v>
      </c>
      <c r="F124" s="105">
        <f t="shared" si="5"/>
        <v>0</v>
      </c>
      <c r="G124" s="105">
        <f t="shared" si="4"/>
        <v>-1202500000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65</v>
      </c>
      <c r="F125" s="105">
        <f t="shared" si="5"/>
        <v>1</v>
      </c>
      <c r="G125" s="105">
        <f t="shared" si="4"/>
        <v>192000000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65</v>
      </c>
      <c r="F126" s="105">
        <f t="shared" si="5"/>
        <v>0</v>
      </c>
      <c r="G126" s="105">
        <f t="shared" si="4"/>
        <v>-195058500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64</v>
      </c>
      <c r="F127" s="105">
        <f t="shared" si="5"/>
        <v>1</v>
      </c>
      <c r="G127" s="105">
        <f t="shared" si="4"/>
        <v>56700000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64</v>
      </c>
      <c r="F128" s="105">
        <f t="shared" si="5"/>
        <v>0</v>
      </c>
      <c r="G128" s="105">
        <f t="shared" si="4"/>
        <v>-192057600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63</v>
      </c>
      <c r="F129" s="105">
        <f t="shared" si="5"/>
        <v>0</v>
      </c>
      <c r="G129" s="105">
        <f t="shared" si="4"/>
        <v>-189056700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61</v>
      </c>
      <c r="F130" s="105">
        <f t="shared" si="5"/>
        <v>0</v>
      </c>
      <c r="G130" s="105">
        <f t="shared" si="4"/>
        <v>-61030500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61</v>
      </c>
      <c r="F131" s="105">
        <f t="shared" si="5"/>
        <v>1</v>
      </c>
      <c r="G131" s="105">
        <f t="shared" si="4"/>
        <v>6000000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59</v>
      </c>
      <c r="F132" s="105">
        <f t="shared" si="5"/>
        <v>0</v>
      </c>
      <c r="G132" s="105">
        <f t="shared" si="4"/>
        <v>-11800000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58</v>
      </c>
      <c r="F133" s="105">
        <f t="shared" si="5"/>
        <v>0</v>
      </c>
      <c r="G133" s="105">
        <f t="shared" si="4"/>
        <v>-127600000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55</v>
      </c>
      <c r="F134" s="105">
        <f t="shared" si="5"/>
        <v>0</v>
      </c>
      <c r="G134" s="105">
        <f t="shared" si="4"/>
        <v>-49802500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52</v>
      </c>
      <c r="F135" s="105">
        <f t="shared" si="5"/>
        <v>1</v>
      </c>
      <c r="G135" s="105">
        <f t="shared" si="4"/>
        <v>76500000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51</v>
      </c>
      <c r="F136" s="105">
        <f t="shared" si="5"/>
        <v>0</v>
      </c>
      <c r="G136" s="105">
        <f t="shared" si="4"/>
        <v>-51025500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51</v>
      </c>
      <c r="F137" s="105">
        <f t="shared" si="5"/>
        <v>0</v>
      </c>
      <c r="G137" s="105">
        <f t="shared" si="4"/>
        <v>-18615000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49</v>
      </c>
      <c r="F138" s="105">
        <f t="shared" si="5"/>
        <v>1</v>
      </c>
      <c r="G138" s="105">
        <f t="shared" si="4"/>
        <v>1104000000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48</v>
      </c>
      <c r="F139" s="105">
        <f t="shared" si="5"/>
        <v>1</v>
      </c>
      <c r="G139" s="105">
        <f t="shared" si="4"/>
        <v>84600000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46</v>
      </c>
      <c r="F140" s="105">
        <f t="shared" si="5"/>
        <v>1</v>
      </c>
      <c r="G140" s="105">
        <f t="shared" si="4"/>
        <v>9000000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46</v>
      </c>
      <c r="F141" s="105">
        <f t="shared" si="5"/>
        <v>0</v>
      </c>
      <c r="G141" s="105">
        <f t="shared" si="4"/>
        <v>-147241400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45</v>
      </c>
      <c r="F142" s="105">
        <f t="shared" si="5"/>
        <v>0</v>
      </c>
      <c r="G142" s="105">
        <f t="shared" si="4"/>
        <v>-135940500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44</v>
      </c>
      <c r="F143" s="105">
        <f t="shared" si="5"/>
        <v>1</v>
      </c>
      <c r="G143" s="105">
        <f t="shared" si="4"/>
        <v>3118919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41</v>
      </c>
      <c r="F144" s="105">
        <f t="shared" si="5"/>
        <v>0</v>
      </c>
      <c r="G144" s="105">
        <f t="shared" si="4"/>
        <v>-123036900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40</v>
      </c>
      <c r="F145" s="105">
        <f t="shared" si="5"/>
        <v>0</v>
      </c>
      <c r="G145" s="105">
        <f t="shared" si="4"/>
        <v>-120056000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40</v>
      </c>
      <c r="F146" s="105">
        <f t="shared" si="5"/>
        <v>0</v>
      </c>
      <c r="G146" s="105">
        <f t="shared" si="4"/>
        <v>-8676400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39</v>
      </c>
      <c r="F147" s="105">
        <f t="shared" si="5"/>
        <v>0</v>
      </c>
      <c r="G147" s="105">
        <f t="shared" si="4"/>
        <v>-117035100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38</v>
      </c>
      <c r="F148" s="105">
        <f t="shared" si="5"/>
        <v>1</v>
      </c>
      <c r="G148" s="105">
        <f t="shared" si="4"/>
        <v>218300000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25</v>
      </c>
      <c r="F149" s="105">
        <f t="shared" si="5"/>
        <v>1</v>
      </c>
      <c r="G149" s="105">
        <f t="shared" si="4"/>
        <v>408000000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25</v>
      </c>
      <c r="F150" s="105">
        <f t="shared" si="5"/>
        <v>0</v>
      </c>
      <c r="G150" s="105">
        <f t="shared" si="4"/>
        <v>-25000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24</v>
      </c>
      <c r="F151" s="105">
        <f t="shared" si="5"/>
        <v>1</v>
      </c>
      <c r="G151" s="105">
        <f t="shared" si="4"/>
        <v>69000000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24</v>
      </c>
      <c r="F152" s="105">
        <f t="shared" si="5"/>
        <v>0</v>
      </c>
      <c r="G152" s="105">
        <f t="shared" si="4"/>
        <v>-432264000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24</v>
      </c>
      <c r="F153" s="105">
        <f t="shared" si="5"/>
        <v>0</v>
      </c>
      <c r="G153" s="105">
        <f t="shared" si="4"/>
        <v>-374400000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24</v>
      </c>
      <c r="F154" s="105">
        <f t="shared" si="5"/>
        <v>0</v>
      </c>
      <c r="G154" s="105">
        <f t="shared" si="4"/>
        <v>-33612000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24</v>
      </c>
      <c r="F155" s="105">
        <f t="shared" si="5"/>
        <v>0</v>
      </c>
      <c r="G155" s="105">
        <f t="shared" si="4"/>
        <v>-120000</v>
      </c>
    </row>
    <row r="156" spans="1:10">
      <c r="A156" s="105" t="s">
        <v>3843</v>
      </c>
      <c r="B156" s="38">
        <v>3000000</v>
      </c>
      <c r="C156" s="73" t="s">
        <v>3844</v>
      </c>
      <c r="D156" s="105">
        <v>1</v>
      </c>
      <c r="E156" s="105">
        <f t="shared" si="7"/>
        <v>19</v>
      </c>
      <c r="F156" s="105">
        <f t="shared" si="5"/>
        <v>1</v>
      </c>
      <c r="G156" s="105">
        <f t="shared" si="4"/>
        <v>54000000</v>
      </c>
    </row>
    <row r="157" spans="1:10">
      <c r="A157" s="105" t="s">
        <v>3850</v>
      </c>
      <c r="B157" s="38">
        <v>1000000</v>
      </c>
      <c r="C157" s="73" t="s">
        <v>3722</v>
      </c>
      <c r="D157" s="105">
        <v>1</v>
      </c>
      <c r="E157" s="105">
        <f t="shared" si="7"/>
        <v>18</v>
      </c>
      <c r="F157" s="105">
        <f t="shared" si="5"/>
        <v>1</v>
      </c>
      <c r="G157" s="105">
        <f t="shared" si="4"/>
        <v>17000000</v>
      </c>
    </row>
    <row r="158" spans="1:10">
      <c r="A158" s="105" t="s">
        <v>3849</v>
      </c>
      <c r="B158" s="38">
        <v>-4500000</v>
      </c>
      <c r="C158" s="73" t="s">
        <v>3851</v>
      </c>
      <c r="D158" s="105">
        <v>0</v>
      </c>
      <c r="E158" s="105">
        <f t="shared" si="7"/>
        <v>17</v>
      </c>
      <c r="F158" s="105">
        <f t="shared" si="5"/>
        <v>0</v>
      </c>
      <c r="G158" s="105">
        <f t="shared" si="4"/>
        <v>-76500000</v>
      </c>
    </row>
    <row r="159" spans="1:10">
      <c r="A159" s="105" t="s">
        <v>3849</v>
      </c>
      <c r="B159" s="38">
        <v>3000000</v>
      </c>
      <c r="C159" s="73" t="s">
        <v>3852</v>
      </c>
      <c r="D159" s="105">
        <v>0</v>
      </c>
      <c r="E159" s="105">
        <f t="shared" si="7"/>
        <v>17</v>
      </c>
      <c r="F159" s="105">
        <f t="shared" si="5"/>
        <v>1</v>
      </c>
      <c r="G159" s="105">
        <f t="shared" si="4"/>
        <v>48000000</v>
      </c>
    </row>
    <row r="160" spans="1:10">
      <c r="A160" s="105" t="s">
        <v>3849</v>
      </c>
      <c r="B160" s="38">
        <v>-3000000</v>
      </c>
      <c r="C160" s="73" t="s">
        <v>3851</v>
      </c>
      <c r="D160" s="105">
        <v>1</v>
      </c>
      <c r="E160" s="105">
        <f t="shared" si="7"/>
        <v>17</v>
      </c>
      <c r="F160" s="105">
        <f t="shared" si="5"/>
        <v>0</v>
      </c>
      <c r="G160" s="105">
        <f t="shared" si="4"/>
        <v>-51000000</v>
      </c>
    </row>
    <row r="161" spans="1:7">
      <c r="A161" s="105" t="s">
        <v>3870</v>
      </c>
      <c r="B161" s="38">
        <v>93165</v>
      </c>
      <c r="C161" s="73" t="s">
        <v>585</v>
      </c>
      <c r="D161" s="105">
        <v>6</v>
      </c>
      <c r="E161" s="105">
        <f t="shared" si="7"/>
        <v>16</v>
      </c>
      <c r="F161" s="105">
        <f t="shared" si="5"/>
        <v>1</v>
      </c>
      <c r="G161" s="105">
        <f t="shared" si="4"/>
        <v>1397475</v>
      </c>
    </row>
    <row r="162" spans="1:7">
      <c r="A162" s="37" t="s">
        <v>3865</v>
      </c>
      <c r="B162" s="38">
        <v>1150000</v>
      </c>
      <c r="C162" s="73" t="s">
        <v>3874</v>
      </c>
      <c r="D162" s="105">
        <v>1</v>
      </c>
      <c r="E162" s="105">
        <f t="shared" si="7"/>
        <v>10</v>
      </c>
      <c r="F162" s="105">
        <f t="shared" si="5"/>
        <v>1</v>
      </c>
      <c r="G162" s="105">
        <f t="shared" si="4"/>
        <v>10350000</v>
      </c>
    </row>
    <row r="163" spans="1:7">
      <c r="A163" s="59" t="s">
        <v>3871</v>
      </c>
      <c r="B163" s="38">
        <v>-526350</v>
      </c>
      <c r="C163" s="73" t="s">
        <v>3872</v>
      </c>
      <c r="D163" s="105">
        <v>3</v>
      </c>
      <c r="E163" s="105">
        <f t="shared" si="7"/>
        <v>9</v>
      </c>
      <c r="F163" s="105">
        <f t="shared" si="5"/>
        <v>0</v>
      </c>
      <c r="G163" s="105">
        <f t="shared" si="4"/>
        <v>-4737150</v>
      </c>
    </row>
    <row r="164" spans="1:7">
      <c r="A164" s="59">
        <v>35707</v>
      </c>
      <c r="B164" s="38">
        <v>-200000</v>
      </c>
      <c r="C164" s="73" t="s">
        <v>3945</v>
      </c>
      <c r="D164" s="105">
        <v>2</v>
      </c>
      <c r="E164" s="105">
        <f t="shared" si="7"/>
        <v>6</v>
      </c>
      <c r="F164" s="105">
        <f t="shared" si="5"/>
        <v>0</v>
      </c>
      <c r="G164" s="105">
        <f t="shared" si="4"/>
        <v>-1200000</v>
      </c>
    </row>
    <row r="165" spans="1:7">
      <c r="A165" s="105" t="s">
        <v>3949</v>
      </c>
      <c r="B165" s="38">
        <v>785000</v>
      </c>
      <c r="C165" s="73" t="s">
        <v>3952</v>
      </c>
      <c r="D165" s="105">
        <v>0</v>
      </c>
      <c r="E165" s="105">
        <f t="shared" si="7"/>
        <v>4</v>
      </c>
      <c r="F165" s="105">
        <f t="shared" si="5"/>
        <v>1</v>
      </c>
      <c r="G165" s="105">
        <f t="shared" si="4"/>
        <v>2355000</v>
      </c>
    </row>
    <row r="166" spans="1:7">
      <c r="A166" s="105" t="s">
        <v>3949</v>
      </c>
      <c r="B166" s="38">
        <v>-200000</v>
      </c>
      <c r="C166" s="73" t="s">
        <v>158</v>
      </c>
      <c r="D166" s="105">
        <v>1</v>
      </c>
      <c r="E166" s="105">
        <f t="shared" si="7"/>
        <v>4</v>
      </c>
      <c r="F166" s="105">
        <f t="shared" si="5"/>
        <v>0</v>
      </c>
      <c r="G166" s="105">
        <f t="shared" si="4"/>
        <v>-800000</v>
      </c>
    </row>
    <row r="167" spans="1:7">
      <c r="A167" s="105" t="s">
        <v>3953</v>
      </c>
      <c r="B167" s="38">
        <v>-450000</v>
      </c>
      <c r="C167" s="73" t="s">
        <v>1129</v>
      </c>
      <c r="D167" s="105">
        <v>0</v>
      </c>
      <c r="E167" s="105">
        <f t="shared" si="7"/>
        <v>3</v>
      </c>
      <c r="F167" s="105">
        <f t="shared" si="5"/>
        <v>0</v>
      </c>
      <c r="G167" s="105">
        <f t="shared" si="4"/>
        <v>-1350000</v>
      </c>
    </row>
    <row r="168" spans="1:7">
      <c r="A168" s="105" t="s">
        <v>3953</v>
      </c>
      <c r="B168" s="38">
        <v>3000000</v>
      </c>
      <c r="C168" s="73" t="s">
        <v>3959</v>
      </c>
      <c r="D168" s="105">
        <v>0</v>
      </c>
      <c r="E168" s="105">
        <f t="shared" si="7"/>
        <v>3</v>
      </c>
      <c r="F168" s="105">
        <f t="shared" si="5"/>
        <v>1</v>
      </c>
      <c r="G168" s="105">
        <f t="shared" si="4"/>
        <v>6000000</v>
      </c>
    </row>
    <row r="169" spans="1:7">
      <c r="A169" s="105" t="s">
        <v>3953</v>
      </c>
      <c r="B169" s="38">
        <v>-35000</v>
      </c>
      <c r="C169" s="73" t="s">
        <v>3963</v>
      </c>
      <c r="D169" s="105">
        <v>1</v>
      </c>
      <c r="E169" s="105">
        <f t="shared" si="7"/>
        <v>3</v>
      </c>
      <c r="F169" s="105">
        <f t="shared" si="5"/>
        <v>0</v>
      </c>
      <c r="G169" s="105">
        <f t="shared" si="4"/>
        <v>-105000</v>
      </c>
    </row>
    <row r="170" spans="1:7">
      <c r="A170" s="105" t="s">
        <v>3964</v>
      </c>
      <c r="B170" s="38">
        <v>2500000</v>
      </c>
      <c r="C170" s="73" t="s">
        <v>3959</v>
      </c>
      <c r="D170" s="105">
        <v>1</v>
      </c>
      <c r="E170" s="105">
        <f t="shared" si="7"/>
        <v>2</v>
      </c>
      <c r="F170" s="105">
        <f t="shared" si="5"/>
        <v>1</v>
      </c>
      <c r="G170" s="105">
        <f t="shared" si="4"/>
        <v>2500000</v>
      </c>
    </row>
    <row r="171" spans="1:7">
      <c r="A171" s="105" t="s">
        <v>3968</v>
      </c>
      <c r="B171" s="38">
        <v>-130640</v>
      </c>
      <c r="C171" s="73" t="s">
        <v>3969</v>
      </c>
      <c r="D171" s="105">
        <v>1</v>
      </c>
      <c r="E171" s="105">
        <f t="shared" si="7"/>
        <v>1</v>
      </c>
      <c r="F171" s="105">
        <f t="shared" si="5"/>
        <v>0</v>
      </c>
      <c r="G171" s="105">
        <f t="shared" si="4"/>
        <v>-130640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6154993</v>
      </c>
      <c r="C194" s="11"/>
      <c r="D194" s="11"/>
      <c r="E194" s="11"/>
      <c r="F194" s="11"/>
      <c r="G194" s="29">
        <f>SUM(G2:G193)</f>
        <v>22020037299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38096950.344290659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F4" zoomScaleNormal="100" workbookViewId="0">
      <selection activeCell="N20" sqref="N2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2935107</v>
      </c>
      <c r="M16" s="2" t="s">
        <v>753</v>
      </c>
      <c r="N16" s="3">
        <f>'مسکن مریم یاران'!B194</f>
        <v>6154993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96207157</v>
      </c>
      <c r="G18" s="29">
        <f t="shared" si="0"/>
        <v>6271543.8190000057</v>
      </c>
      <c r="H18" s="11" t="s">
        <v>3975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1099727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208000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-1099727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3955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3956</v>
      </c>
      <c r="N27" s="119">
        <v>29759232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3982</v>
      </c>
      <c r="N28" s="119">
        <v>24670000</v>
      </c>
      <c r="O28" s="119">
        <v>25064823</v>
      </c>
      <c r="P28" s="4" t="s">
        <v>3867</v>
      </c>
      <c r="Q28" s="118">
        <v>16</v>
      </c>
      <c r="R28" s="118" t="s">
        <v>3864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3983</v>
      </c>
      <c r="N29" s="38">
        <v>51680</v>
      </c>
      <c r="O29" s="119">
        <v>111180</v>
      </c>
      <c r="P29" s="4" t="s">
        <v>3866</v>
      </c>
      <c r="Q29" s="118">
        <f>Q28-2</f>
        <v>14</v>
      </c>
      <c r="R29" s="118" t="s">
        <v>3864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3842</v>
      </c>
      <c r="L30" s="123">
        <v>0</v>
      </c>
      <c r="M30" s="105"/>
      <c r="N30" s="38"/>
      <c r="O30" s="38">
        <v>380000</v>
      </c>
      <c r="P30" s="4" t="s">
        <v>3865</v>
      </c>
      <c r="Q30" s="118">
        <f>Q29-1</f>
        <v>13</v>
      </c>
      <c r="R30" s="118" t="s">
        <v>3864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3960</v>
      </c>
      <c r="L31" s="123">
        <v>-5000000</v>
      </c>
      <c r="M31" s="105"/>
      <c r="N31" s="105"/>
      <c r="O31" s="38">
        <v>52051</v>
      </c>
      <c r="P31" s="118" t="s">
        <v>3984</v>
      </c>
      <c r="Q31" s="118">
        <f>Q30-13</f>
        <v>0</v>
      </c>
      <c r="R31" s="118" t="s">
        <v>3985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/>
      <c r="P32" s="118"/>
      <c r="Q32" s="118"/>
      <c r="R32" s="118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-886374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96207157</v>
      </c>
      <c r="M35" s="2"/>
      <c r="N35" s="3">
        <f>SUM(N16:N30)</f>
        <v>167724557</v>
      </c>
      <c r="O35" t="s">
        <v>3986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3307430</v>
      </c>
      <c r="M36" s="2"/>
      <c r="N36" s="3">
        <f>N16+N17+N22</f>
        <v>-656628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153207157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  <c r="Q40" t="s">
        <v>25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1152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1167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1168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1169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1170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3776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2000000</v>
      </c>
      <c r="P49" s="56" t="s">
        <v>1171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2000000</v>
      </c>
      <c r="P51" s="56" t="s">
        <v>1172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1000000</v>
      </c>
      <c r="P52" s="56" t="s">
        <v>1174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1163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>
        <v>3000000</v>
      </c>
      <c r="P54" s="56" t="s">
        <v>3974</v>
      </c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63300000</v>
      </c>
      <c r="P61" s="56" t="s">
        <v>1175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1176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1179</v>
      </c>
    </row>
    <row r="64" spans="1:17">
      <c r="E64" s="26"/>
      <c r="K64" s="2"/>
      <c r="L64" s="3"/>
      <c r="O64" t="s">
        <v>1189</v>
      </c>
    </row>
    <row r="65" spans="1:28">
      <c r="K65" s="2"/>
      <c r="L65" s="3"/>
      <c r="O65" t="s">
        <v>1190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K74" s="47">
        <v>1150000</v>
      </c>
      <c r="L74" s="48" t="s">
        <v>1053</v>
      </c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1197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1198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3870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3870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2018-07-10T15:23:37Z</dcterms:modified>
</cp:coreProperties>
</file>