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AA79" i="18" l="1"/>
  <c r="AA75" i="18"/>
  <c r="AA71" i="18"/>
  <c r="AA72" i="18"/>
  <c r="AA73" i="18"/>
  <c r="AA70" i="18"/>
  <c r="Z72" i="18"/>
  <c r="Z71" i="18"/>
  <c r="Z70" i="18"/>
  <c r="R71" i="18"/>
  <c r="G32" i="10"/>
  <c r="B127" i="13"/>
  <c r="M57" i="32" l="1"/>
  <c r="Q70" i="32"/>
  <c r="I56" i="32"/>
  <c r="F201" i="15" l="1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F200" i="15" s="1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199" i="15" l="1"/>
  <c r="F198" i="15"/>
  <c r="F197" i="15"/>
  <c r="E57" i="32"/>
  <c r="F5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<sst xmlns="http://schemas.openxmlformats.org/spreadsheetml/2006/main" count="2892" uniqueCount="1267">
  <si>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</si>
  <si>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</si>
  <si>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</si>
  <si>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</si>
  <si>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</si>
  <si>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</si>
  <si>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</si>
  <si>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</si>
  <si>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</si>
  <si>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</si>
  <si>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</si>
  <si>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</si>
  <si>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</si>
  <si>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</si>
  <si>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</si>
  <si>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</si>
  <si>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</si>
  <si>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</si>
  <si>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</si>
  <si>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</si>
  <si>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</si>
  <si>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</si>
  <si>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</si>
  <si>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</si>
  <si>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</si>
  <si>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</si>
  <si>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</si>
  <si>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</si>
  <si>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</si>
  <si>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</si>
  <si>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</si>
  <si>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</si>
  <si>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</si>
  <si>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</si>
  <si>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</si>
  <si>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</si>
  <si>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</si>
  <si>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</si>
  <si>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</si>
  <si>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</si>
  <si>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</si>
  <si>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</si>
  <si>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</si>
  <si>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</si>
  <si>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</si>
  <si>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</si>
  <si>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</si>
  <si>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</si>
  <si>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</si>
  <si>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</si>
  <si>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</si>
  <si>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</si>
  <si>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</si>
  <si>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</si>
  <si>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</si>
  <si>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</si>
  <si>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</si>
  <si>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</si>
  <si>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</si>
  <si>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</si>
  <si>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</si>
  <si>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</si>
  <si>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</si>
  <si>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</si>
  <si>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</si>
  <si>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</si>
  <si>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</si>
  <si>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</si>
  <si>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</si>
  <si>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</si>
  <si>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</si>
  <si>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</si>
  <si>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</si>
  <si>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</si>
  <si>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</si>
  <si>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</si>
  <si>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</si>
  <si>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</si>
  <si>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</si>
  <si>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</si>
  <si>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</si>
  <si>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</si>
  <si>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</si>
  <si>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</si>
  <si>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</si>
  <si>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</si>
  <si>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</si>
  <si>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</si>
  <si>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</si>
  <si>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</si>
  <si>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</si>
  <si>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</si>
  <si>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</si>
  <si>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</si>
  <si>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</si>
  <si>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</si>
  <si>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</si>
  <si>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</si>
  <si>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</si>
  <si>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</si>
  <si>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</si>
  <si>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</si>
  <si>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</si>
  <si>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</si>
  <si>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</si>
  <si>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</si>
  <si>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</si>
  <si>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</si>
  <si>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</si>
  <si>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</si>
  <si>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</si>
  <si>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</si>
  <si>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</si>
  <si>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</si>
  <si>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</si>
  <si>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</si>
  <si>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</si>
  <si>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</si>
  <si>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</si>
  <si>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</si>
  <si>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</si>
  <si>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</si>
  <si>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</si>
  <si>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</si>
  <si>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</si>
  <si>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</si>
  <si>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</si>
  <si>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</si>
  <si>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</si>
  <si>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</si>
  <si>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</si>
  <si>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</si>
  <si>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</si>
  <si>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</si>
  <si>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</si>
  <si>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</si>
  <si>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</si>
  <si>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</si>
  <si>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</si>
  <si>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</si>
  <si>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</si>
  <si>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</si>
  <si>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</si>
  <si>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</si>
  <si>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</si>
  <si>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</si>
  <si>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</si>
  <si>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</si>
  <si>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</si>
  <si>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</si>
  <si>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</si>
  <si>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</si>
  <si>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</si>
  <si>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</si>
  <si>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</si>
  <si>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</si>
  <si>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</si>
  <si>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</si>
  <si>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</si>
  <si>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</si>
  <si>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</si>
  <si>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</si>
  <si>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</si>
  <si>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</si>
  <si>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</si>
  <si>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</si>
  <si>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</si>
  <si>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</si>
  <si>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</si>
  <si>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</si>
  <si>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</si>
  <si>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</si>
  <si>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</si>
  <si>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</si>
  <si>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</si>
  <si>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</si>
  <si>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</si>
  <si>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</si>
  <si>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</si>
  <si>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</si>
  <si>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</si>
  <si>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</si>
  <si>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</si>
  <si>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</si>
  <si>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</si>
  <si>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</si>
  <si>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</si>
  <si>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</si>
  <si>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</si>
  <si>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</si>
  <si>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</si>
  <si>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</si>
  <si>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</si>
  <si>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</si>
  <si>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</si>
  <si>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</si>
  <si>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</si>
  <si>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</si>
  <si>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</si>
  <si>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</si>
  <si>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</si>
  <si>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</si>
  <si>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</si>
  <si>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</si>
  <si>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</si>
  <si>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</si>
  <si>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</si>
  <si>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</si>
  <si>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</si>
  <si>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</si>
  <si>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</si>
  <si>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</si>
  <si>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</si>
  <si>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</si>
  <si>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</si>
  <si>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</si>
  <si>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</si>
  <si>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</si>
  <si>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</si>
  <si>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</si>
  <si>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</si>
  <si>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</si>
  <si>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</si>
  <si>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</si>
  <si>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</si>
  <si>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</si>
  <si>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</si>
  <si>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</si>
  <si>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</si>
  <si>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</si>
  <si>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</si>
  <si>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</si>
  <si>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</si>
  <si>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</si>
  <si>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</si>
  <si>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</si>
  <si>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</si>
  <si>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</si>
  <si>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</si>
  <si>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</si>
  <si>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</si>
  <si>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</si>
  <si>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</si>
  <si>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</si>
  <si>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</si>
  <si>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</si>
  <si>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</si>
  <si>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</si>
  <si>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</si>
  <si>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</si>
  <si>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</si>
  <si>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</si>
  <si>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</si>
  <si>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</si>
  <si>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</si>
  <si>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</si>
  <si>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</si>
  <si>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</si>
  <si>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</si>
  <si>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</si>
  <si>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</si>
  <si>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</si>
  <si>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</si>
  <si>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</si>
  <si>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</si>
  <si>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</si>
  <si>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</si>
  <si>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</si>
  <si>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</si>
  <si>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</si>
  <si>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</si>
  <si>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</si>
  <si>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</si>
  <si>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</si>
  <si>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</si>
  <si>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</si>
  <si>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</si>
  <si>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</si>
  <si>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</si>
  <si>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</si>
  <si>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</si>
  <si>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</si>
  <si>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</si>
  <si>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</si>
  <si>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</si>
  <si>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</si>
  <si>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</si>
  <si>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</si>
  <si>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</si>
  <si>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</si>
  <si>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</si>
  <si>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</si>
  <si>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</si>
  <si>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</si>
  <si>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</si>
  <si>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</si>
  <si>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</si>
  <si>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</si>
  <si>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</si>
  <si>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</si>
  <si>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</si>
  <si>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</si>
  <si>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</si>
  <si>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</si>
  <si>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</si>
  <si>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</si>
  <si>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</si>
  <si>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</si>
  <si>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</si>
  <si>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</si>
  <si>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</si>
  <si>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</si>
  <si>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</si>
  <si>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</si>
  <si>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</si>
  <si>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</si>
  <si>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</si>
  <si>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</si>
  <si>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</si>
  <si>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</si>
  <si>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</si>
  <si>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</si>
  <si>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</si>
  <si>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</si>
  <si>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</si>
  <si>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</si>
  <si>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</si>
  <si>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</si>
  <si>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</si>
  <si>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</si>
  <si>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</si>
  <si>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</si>
  <si>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</si>
  <si>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</si>
  <si>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</si>
  <si>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</si>
  <si>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</si>
  <si>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</si>
  <si>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</si>
  <si>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</si>
  <si>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</si>
  <si>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</si>
  <si>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</si>
  <si>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</si>
  <si>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</si>
  <si>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</si>
  <si>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</si>
  <si>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</si>
  <si>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</si>
  <si>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</si>
  <si>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</si>
  <si>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</si>
  <si>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</si>
  <si>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</si>
  <si>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</si>
  <si>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</si>
  <si>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</si>
  <si>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</si>
  <si>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</si>
  <si>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</si>
  <si>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</si>
  <si>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</si>
  <si>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</si>
  <si>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</si>
  <si>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</si>
  <si>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</si>
  <si>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</si>
  <si>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</si>
  <si>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</si>
  <si>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</si>
  <si>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</si>
  <si>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</si>
  <si>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</si>
  <si>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</si>
  <si>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</si>
  <si>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</si>
  <si>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</si>
  <si>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</si>
  <si>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</si>
  <si>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</si>
  <si>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</si>
  <si>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</si>
  <si>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</si>
  <si>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</si>
  <si>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</si>
  <si>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</si>
  <si>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</si>
  <si>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</si>
  <si>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</si>
  <si>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</si>
  <si>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</si>
  <si>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</si>
  <si>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</si>
  <si>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</si>
  <si>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</si>
  <si>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</si>
  <si>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</si>
  <si>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</si>
  <si>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</si>
  <si>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</si>
  <si>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</si>
  <si>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</si>
  <si>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</si>
  <si>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</si>
  <si>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</si>
  <si>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</si>
  <si>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</si>
  <si>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</si>
  <si>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</si>
  <si>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</si>
  <si>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</si>
  <si>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</si>
  <si>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</si>
  <si>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</si>
  <si>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</si>
  <si>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</si>
  <si>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</si>
  <si>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</si>
  <si>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</si>
  <si>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</si>
  <si>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</si>
  <si>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</si>
  <si>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</si>
  <si>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</si>
  <si>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</si>
  <si>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</si>
  <si>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</si>
  <si>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</si>
  <si>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</si>
  <si>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</si>
  <si>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</si>
  <si>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</si>
  <si>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</si>
  <si>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</si>
  <si>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</si>
  <si>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</si>
  <si>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</si>
  <si>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</si>
  <si>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</si>
  <si>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</si>
  <si>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</si>
  <si>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</si>
  <si>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</si>
  <si>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</si>
  <si>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</si>
  <si>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</si>
  <si>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</si>
  <si>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</si>
  <si>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</si>
  <si>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</si>
  <si>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</si>
  <si>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</si>
  <si>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</si>
  <si>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</si>
  <si>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</si>
  <si>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</si>
  <si>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</si>
  <si>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</si>
  <si>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</si>
  <si>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</si>
  <si>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</si>
  <si>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</si>
  <si>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</si>
  <si>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</si>
  <si>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</si>
  <si>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</si>
  <si>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</si>
  <si>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</si>
  <si>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</si>
  <si>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</si>
  <si>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</si>
  <si>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</si>
  <si>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</si>
  <si>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</si>
  <si>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</si>
  <si>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</si>
  <si>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</si>
  <si>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</si>
  <si>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</si>
  <si>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</si>
  <si>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</si>
  <si>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</si>
  <si>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</si>
  <si>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</si>
  <si>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</si>
  <si>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</si>
  <si>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</si>
  <si>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</si>
  <si>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</si>
  <si>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</si>
  <si>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</si>
  <si>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</si>
  <si>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</si>
  <si>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</si>
  <si>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</si>
  <si>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</si>
  <si>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</si>
  <si>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</si>
  <si>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</si>
  <si>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</si>
  <si>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</si>
  <si>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</si>
  <si>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</si>
  <si>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</si>
  <si>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</si>
  <si>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</si>
  <si>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</si>
  <si>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</si>
  <si>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</si>
  <si>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</si>
  <si>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</si>
  <si>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</si>
  <si>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</si>
  <si>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</si>
  <si>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</si>
  <si>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</si>
  <si>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</si>
  <si>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</si>
  <si>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</si>
  <si>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</si>
  <si>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</si>
  <si>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</si>
  <si>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</si>
  <si>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</si>
  <si>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</si>
  <si>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</si>
  <si>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</si>
  <si>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</si>
  <si>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</si>
  <si>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</si>
  <si>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</si>
  <si>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</si>
  <si>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</si>
  <si>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</si>
  <si>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</si>
  <si>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</si>
  <si>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</si>
  <si>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</si>
  <si>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</si>
  <si>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</si>
  <si>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</si>
  <si>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</si>
  <si>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</si>
  <si>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</si>
  <si>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</si>
  <si>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</si>
  <si>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</si>
  <si>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</si>
  <si>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</si>
  <si>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</si>
  <si>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</si>
  <si>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</si>
  <si>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</si>
  <si>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</si>
  <si>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</si>
  <si>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</si>
  <si>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</si>
  <si>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</si>
  <si>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</si>
  <si>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</si>
  <si>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</si>
  <si>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</si>
  <si>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</si>
  <si>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</si>
  <si>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</si>
  <si>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</si>
  <si>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</si>
  <si>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</si>
  <si>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</si>
  <si>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</si>
  <si>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</si>
  <si>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</si>
  <si>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</si>
  <si>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</si>
  <si>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</si>
  <si>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</si>
  <si>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</si>
  <si>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</si>
  <si>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</si>
  <si>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</si>
  <si>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</si>
  <si>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</si>
  <si>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</si>
  <si>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</si>
  <si>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</si>
  <si>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</si>
  <si>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</si>
  <si>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</si>
  <si>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</si>
  <si>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</si>
  <si>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</si>
  <si>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</si>
  <si>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</si>
  <si>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</si>
  <si>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</si>
  <si>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</si>
  <si>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</si>
  <si>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</si>
  <si>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</si>
  <si>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</si>
  <si>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</si>
  <si>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</si>
  <si>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</si>
  <si>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</si>
  <si>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</si>
  <si>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</si>
  <si>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</si>
  <si>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</si>
  <si>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</si>
  <si>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</si>
  <si>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</si>
  <si>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</si>
  <si>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</si>
  <si>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</si>
  <si>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</si>
  <si>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</si>
  <si>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</si>
  <si>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</si>
  <si>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</si>
  <si>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</si>
  <si>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</si>
  <si>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</si>
  <si>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</si>
  <si>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</si>
  <si>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</si>
  <si>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</si>
  <si>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</si>
  <si>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</si>
  <si>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</si>
  <si>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</si>
  <si>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</si>
  <si>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</si>
  <si>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</si>
  <si>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</si>
  <si>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</si>
  <si>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</si>
  <si>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</si>
  <si>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</si>
  <si>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</si>
  <si>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</si>
  <si>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</si>
  <si>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</si>
  <si>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</si>
  <si>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</si>
  <si>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</si>
  <si>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</si>
  <si>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</si>
  <si>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</si>
  <si>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</si>
  <si>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</si>
  <si>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</si>
  <si>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</si>
  <si>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</si>
  <si>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</si>
  <si>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</si>
  <si>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</si>
  <si>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</si>
  <si>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</si>
  <si>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</si>
  <si>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</si>
  <si>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</si>
  <si>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</si>
  <si>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</si>
  <si>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</si>
  <si>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</si>
  <si>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</si>
  <si>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</si>
  <si>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</si>
  <si>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</si>
  <si>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</si>
  <si>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</si>
  <si>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</si>
  <si>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</si>
  <si>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</si>
  <si>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</si>
  <si>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</si>
  <si>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</si>
  <si>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</si>
  <si>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</si>
  <si>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</si>
  <si>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</si>
  <si>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</si>
  <si>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</si>
  <si>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</si>
  <si>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</si>
  <si>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</si>
  <si>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</si>
  <si>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</si>
  <si>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</si>
  <si>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</si>
  <si>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</si>
  <si>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</si>
  <si>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</si>
  <si>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</si>
  <si>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</si>
  <si>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</si>
  <si>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</si>
  <si>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</si>
  <si>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</si>
  <si>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</si>
  <si>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</si>
  <si>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</si>
  <si>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</si>
  <si>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</si>
  <si>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</si>
  <si>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</si>
  <si>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</si>
  <si>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</si>
  <si>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</si>
  <si>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</si>
  <si>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</si>
  <si>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</si>
  <si>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</si>
  <si>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</si>
  <si>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</si>
  <si>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</si>
  <si>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</si>
  <si>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</si>
  <si>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</si>
  <si>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</si>
  <si>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</si>
  <si>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</si>
  <si>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</si>
  <si>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</si>
  <si>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</si>
  <si>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</si>
  <si>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</si>
  <si>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</si>
  <si>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</si>
  <si>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</si>
  <si>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</si>
  <si>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</si>
  <si>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</si>
  <si>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</si>
  <si>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</si>
  <si>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</si>
  <si>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</si>
  <si>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</si>
  <si>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</si>
  <si>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</si>
  <si>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</si>
  <si>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</si>
  <si>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</si>
  <si>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</si>
  <si>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</si>
  <si>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</si>
  <si>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</si>
  <si>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</si>
  <si>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</si>
  <si>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</si>
  <si>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</si>
  <si>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</si>
  <si>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</si>
  <si>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</si>
  <si>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</si>
  <si>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</si>
  <si>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</si>
  <si>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</si>
  <si>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</si>
  <si>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</si>
  <si>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</si>
  <si>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</si>
  <si>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</si>
  <si>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</si>
  <si>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</si>
  <si>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</si>
  <si>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</si>
  <si>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</si>
  <si>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</si>
  <si>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</si>
  <si>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</si>
  <si>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</si>
  <si>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</si>
  <si>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</si>
  <si>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</si>
  <si>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</si>
  <si>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</si>
  <si>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</si>
  <si>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</si>
  <si>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</si>
  <si>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</si>
  <si>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</si>
  <si>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</si>
  <si>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</si>
  <si>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</si>
  <si>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</si>
  <si>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</si>
  <si>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</si>
  <si>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</si>
  <si>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</si>
  <si>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</si>
  <si>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</si>
  <si>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</si>
  <si>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</si>
  <si>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</si>
  <si>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</si>
  <si>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</si>
  <si>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</si>
  <si>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</si>
  <si>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</si>
  <si>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</si>
  <si>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</si>
  <si>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</si>
  <si>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</si>
  <si>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</si>
  <si>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</si>
  <si>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</si>
  <si>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</si>
  <si>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</si>
  <si>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</si>
  <si>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</si>
  <si>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</si>
  <si>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</si>
  <si>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</si>
  <si>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</si>
  <si>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</si>
  <si>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</si>
  <si>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</si>
  <si>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</si>
  <si>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</si>
  <si>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</si>
  <si>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</si>
  <si>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</si>
  <si>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</si>
  <si>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</si>
  <si>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</si>
  <si>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</si>
  <si>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</si>
  <si>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</si>
  <si>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</si>
  <si>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</si>
  <si>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</si>
  <si>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</si>
  <si>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</si>
  <si>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</si>
  <si>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</si>
  <si>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</si>
  <si>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</si>
  <si>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</si>
  <si>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</si>
  <si>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</si>
  <si>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</si>
  <si>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</si>
  <si>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</si>
  <si>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</si>
  <si>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</si>
  <si>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</si>
  <si>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</si>
  <si>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</si>
  <si>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</si>
  <si>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</si>
  <si>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</si>
  <si>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</si>
  <si>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</si>
  <si>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</si>
  <si>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</si>
  <si>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</si>
  <si>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</si>
  <si>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</si>
  <si>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</si>
  <si>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</si>
  <si>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</si>
  <si>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</si>
  <si>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</si>
  <si>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</si>
  <si>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</si>
  <si>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</si>
  <si>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</si>
  <si>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</si>
  <si>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</si>
  <si>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</si>
  <si>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</si>
  <si>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</si>
  <si>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</si>
  <si>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</si>
  <si>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</si>
  <si>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</si>
  <si>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</si>
  <si>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</si>
  <si>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</si>
  <si>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</si>
  <si>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</si>
  <si>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</si>
  <si>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</si>
  <si>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</si>
  <si>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</si>
  <si>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</si>
  <si>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</si>
  <si>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</si>
  <si>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</si>
  <si>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</si>
  <si>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</si>
  <si>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</si>
  <si>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</si>
  <si>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</si>
  <si>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</si>
  <si>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</si>
  <si>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</si>
  <si>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</si>
  <si>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</si>
  <si>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</si>
  <si>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</si>
  <si>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</si>
  <si>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</si>
  <si>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</si>
  <si>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</si>
  <si>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</si>
  <si>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</si>
  <si>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</si>
  <si>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</si>
  <si>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</si>
  <si>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</si>
  <si>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</si>
  <si>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</si>
  <si>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</si>
  <si>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</si>
  <si>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</si>
  <si>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</si>
  <si>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</si>
  <si>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</si>
  <si>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</si>
  <si>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</si>
  <si>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</si>
  <si>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</si>
  <si>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</si>
  <si>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</si>
  <si>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</si>
  <si>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</si>
  <si>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</si>
  <si>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</si>
  <si>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</si>
  <si>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</si>
  <si>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</si>
  <si>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</si>
  <si>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</si>
  <si>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</si>
  <si>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</si>
  <si>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</si>
  <si>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</si>
  <si>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</si>
  <si>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</si>
  <si>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</si>
  <si>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</si>
  <si>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</si>
  <si>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</si>
  <si>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</si>
  <si>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</si>
  <si>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</si>
  <si>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</si>
  <si>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</si>
  <si>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</si>
  <si>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</si>
  <si>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</si>
  <si>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</si>
  <si>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</si>
  <si>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</si>
  <si>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</si>
  <si>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</si>
  <si>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</si>
  <si>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</si>
  <si>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</si>
  <si>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</si>
  <si>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</si>
  <si>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</si>
  <si>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</si>
  <si>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</si>
  <si>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</si>
  <si>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</si>
  <si>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</si>
  <si>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</si>
  <si>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</si>
  <si>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</si>
  <si>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</si>
  <si>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</si>
  <si>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</si>
  <si>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</si>
  <si>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</si>
  <si>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</si>
  <si>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</si>
  <si>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</si>
  <si>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</si>
  <si>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</si>
  <si>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</si>
  <si>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</si>
  <si>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</si>
  <si>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</si>
  <si>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</si>
  <si>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</si>
  <si>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</si>
  <si>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</si>
  <si>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</si>
  <si>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</si>
  <si>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</si>
  <si>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</si>
  <si>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</si>
  <si>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</si>
  <si>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</si>
  <si>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</si>
  <si>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</si>
  <si>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</si>
  <si>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</si>
  <si>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</si>
  <si>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</si>
  <si>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</si>
  <si>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</si>
  <si>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</si>
  <si>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</si>
  <si>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</si>
  <si>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</si>
  <si>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</si>
  <si>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</si>
  <si>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</si>
  <si>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</si>
  <si>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</si>
  <si>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</si>
  <si>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</si>
  <si>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</si>
  <si>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</si>
  <si>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</si>
  <si>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</si>
  <si>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</si>
  <si>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</si>
  <si>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</si>
  <si>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</si>
  <si>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</si>
  <si>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</si>
  <si>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</si>
  <si>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</si>
  <si>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</si>
  <si>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</si>
  <si>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</si>
  <si>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</si>
  <si>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</si>
  <si>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</si>
  <si>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</si>
  <si>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</si>
  <si>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</si>
  <si>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</si>
  <si>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</si>
  <si>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</si>
  <si>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</si>
  <si>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</si>
  <si>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</si>
  <si>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</si>
  <si>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</si>
  <si>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</si>
  <si>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</si>
  <si>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</si>
  <si>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</si>
  <si>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</si>
  <si>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</si>
  <si>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</si>
  <si>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</si>
  <si>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</si>
  <si>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</si>
  <si>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</si>
  <si>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</si>
  <si>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</si>
  <si>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</si>
  <si>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</si>
  <si>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</si>
  <si>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</si>
  <si>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</si>
  <si>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</si>
  <si>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</si>
  <si>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</si>
  <si>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</si>
  <si>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</si>
  <si>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</si>
  <si>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</si>
  <si>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</si>
  <si>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</si>
  <si>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</si>
  <si>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</si>
  <si>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</si>
  <si>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</si>
  <si>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</si>
  <si>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</si>
  <si>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</si>
  <si>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</si>
  <si>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</si>
  <si>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</si>
  <si>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</si>
  <si>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</si>
  <si>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</si>
  <si>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</si>
  <si>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</si>
  <si>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</si>
  <si>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</si>
  <si>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</si>
  <si>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</si>
  <si>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</si>
  <si>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</si>
  <si>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</si>
  <si>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</si>
  <si>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</si>
  <si>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</si>
  <si>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</si>
  <si>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</si>
  <si>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</si>
  <si>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</si>
  <si>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</si>
  <si>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</si>
  <si>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</si>
  <si>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</si>
  <si>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</si>
  <si>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</si>
  <si>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</si>
  <si>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</si>
  <si>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</si>
  <si>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</si>
  <si>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</si>
  <si>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</si>
  <si>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</si>
  <si>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</si>
  <si>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</si>
  <si>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</si>
  <si>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</si>
  <si>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</si>
  <si>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</si>
  <si>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</si>
  <si>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</si>
  <si>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</si>
  <si>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</si>
  <si>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</si>
  <si>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</si>
  <si>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</si>
  <si>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</si>
  <si>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</si>
  <si>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</si>
  <si>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</si>
  <si>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</si>
  <si>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</si>
  <si>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</si>
  <si>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</si>
  <si>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</si>
  <si>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</si>
  <si>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</si>
  <si>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</si>
  <si>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</si>
  <si>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</si>
  <si>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</si>
  <si>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</si>
  <si>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</si>
  <si>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</si>
  <si>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</si>
  <si>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</si>
  <si>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</si>
  <si>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</si>
  <si>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</si>
  <si>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</si>
  <si>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</si>
  <si>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</si>
  <si>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</si>
  <si>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</si>
  <si>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</si>
  <si>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</si>
  <si>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</si>
  <si>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</si>
  <si>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</si>
  <si>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</si>
  <si>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</si>
  <si>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</si>
  <si>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</si>
  <si>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</si>
  <si>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</si>
  <si>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</si>
  <si>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</si>
  <si>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</si>
  <si>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</si>
  <si>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</si>
  <si>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</si>
  <si>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</si>
  <si>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</si>
  <si>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</si>
  <si>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</si>
  <si>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</si>
  <si>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</si>
  <si>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</si>
  <si>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</si>
  <si>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</si>
  <si>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</si>
  <si>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</si>
  <si>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</si>
  <si>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</si>
  <si>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</si>
  <si>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</si>
  <si>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</si>
  <si>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</si>
  <si>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</si>
  <si>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</si>
  <si>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</si>
  <si>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</si>
  <si>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</si>
  <si>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</si>
  <si>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</si>
  <si>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</si>
  <si>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</si>
  <si>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</si>
  <si>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</si>
  <si>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</si>
  <si>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</si>
  <si>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</si>
  <si>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</si>
  <si>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</si>
  <si>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</si>
  <si>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</si>
  <si>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</si>
  <si>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</si>
  <si>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</si>
  <si>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</si>
  <si>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</si>
  <si>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</si>
  <si>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</si>
  <si>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</si>
  <si>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</si>
  <si>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</si>
  <si>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</si>
  <si>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</si>
  <si>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</si>
  <si>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</si>
  <si>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</si>
  <si>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</si>
  <si>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</si>
  <si>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</si>
  <si>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</si>
  <si>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</si>
  <si>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</si>
  <si>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</si>
  <si>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</si>
  <si>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</si>
  <si>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</si>
  <si>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</si>
  <si>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</si>
  <si>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</si>
  <si>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</si>
  <si>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</si>
  <si>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</si>
  <si>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</si>
  <si>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</si>
  <si>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</si>
  <si>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</si>
  <si>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</si>
  <si>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</si>
  <si>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</si>
  <si>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</si>
  <si>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</si>
  <si>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</si>
  <si>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</si>
  <si>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</si>
  <si>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</si>
  <si>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</si>
  <si>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</si>
  <si>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</si>
  <si>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تاخیر چک های حاج ایوب</t>
  </si>
  <si>
    <t>24/7/96</t>
  </si>
  <si>
    <t>دریافت توسط حاجی</t>
  </si>
  <si>
    <t>تاخیر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</si>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</sst>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2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2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X1" zoomScaleNormal="100" workbookViewId="0">
      <pane ySplit="1" topLeftCell="A2" activePane="bottomLeft" state="frozen"/>
      <selection pane="bottomLeft" activeCell="AK12" sqref="AK12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29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15</v>
      </c>
      <c r="H56" s="75">
        <v>0</v>
      </c>
      <c r="I56" s="76">
        <f>F56*G56*($AE$2-H56)/(36500)</f>
        <v>235564.33150684932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83334.112917057253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25" sqref="D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94141.487903066067</v>
      </c>
      <c r="C2" s="91">
        <f>$S2/(1+($AC$3-$O2+$P2)/36500)^$N2</f>
        <v>94247.749961499343</v>
      </c>
      <c r="D2" s="91">
        <f>$S2/(1+($AC$4-$O2+$P2)/36500)^$N2</f>
        <v>94380.747860341449</v>
      </c>
      <c r="E2" s="91">
        <f>$S2/(1+($AC$5-$O2+$P2)/36500)^$N2</f>
        <v>94513.935264164495</v>
      </c>
      <c r="F2" s="91">
        <f>$S2/(1+($AC$6-$O2+$P2)/36500)^$N2</f>
        <v>94647.312445591888</v>
      </c>
      <c r="G2" s="91">
        <f>$S2/(1+($AC$7-$O2+$P2)/36500)^$N2</f>
        <v>94780.879677636622</v>
      </c>
      <c r="H2" s="91">
        <f>$S2/(1+($AC$8-$O2+$P2)/36500)^$N2</f>
        <v>94914.637233714646</v>
      </c>
      <c r="I2" s="91">
        <f>$S2/(1+($AC$9-$O2+$P2)/36500)^$N2</f>
        <v>95048.585387633881</v>
      </c>
      <c r="J2" s="91">
        <f>$S2/(1+($AC$10-$O2+$P2)/36500)^$N2</f>
        <v>95182.724413602089</v>
      </c>
      <c r="K2" s="91">
        <f>$S2/(1+($AC$11-$O2+$P2)/36500)^$N2</f>
        <v>95317.054586229118</v>
      </c>
      <c r="L2" s="91">
        <f>$S2/(1+($AC$5-$O2+$P2)/36500)^$N2</f>
        <v>94513.935264164495</v>
      </c>
      <c r="M2" s="90" t="s">
        <v>1002</v>
      </c>
      <c r="N2" s="90">
        <f>132-$AD$19</f>
        <v>103</v>
      </c>
      <c r="O2" s="90">
        <v>0</v>
      </c>
      <c r="P2" s="90">
        <v>0</v>
      </c>
      <c r="Q2" s="90">
        <v>0</v>
      </c>
      <c r="R2" s="90">
        <f t="shared" ref="R2:R29" si="0">N2/30.5</f>
        <v>3.377049180327869</v>
      </c>
      <c r="S2" s="91">
        <v>100000</v>
      </c>
      <c r="T2" s="91">
        <v>93600</v>
      </c>
      <c r="U2" s="91">
        <f>B2*(1+$AC$2/36500)^N2</f>
        <v>100000.00000000001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92229.893855690694</v>
      </c>
      <c r="C3" s="93">
        <f t="shared" ref="C3:C29" si="3">$S3/(1+($AC$3-$O3+$P3)/36500)^$N3</f>
        <v>92369.400212172754</v>
      </c>
      <c r="D3" s="93">
        <f t="shared" ref="D3:D29" si="4">$S3/(1+($AC$4-$O3+$P3)/36500)^$N3</f>
        <v>92544.082091431643</v>
      </c>
      <c r="E3" s="93">
        <f t="shared" ref="E3:E29" si="5">$S3/(1+($AC$5-$O3+$P3)/36500)^$N3</f>
        <v>92719.09671393664</v>
      </c>
      <c r="F3" s="93">
        <f t="shared" ref="F3:F29" si="6">$S3/(1+($AC$6-$O3+$P3)/36500)^$N3</f>
        <v>92894.44471808731</v>
      </c>
      <c r="G3" s="93">
        <f t="shared" ref="G3:G29" si="7">$S3/(1+($AC$7-$O3+$P3)/36500)^$N3</f>
        <v>93070.126743508314</v>
      </c>
      <c r="H3" s="93">
        <f t="shared" ref="H3:H29" si="8">$S3/(1+($AC$8-$O3+$P3)/36500)^$N3</f>
        <v>93246.143431068762</v>
      </c>
      <c r="I3" s="93">
        <f t="shared" ref="I3:I29" si="9">$S3/(1+($AC$9-$O3+$P3)/36500)^$N3</f>
        <v>93422.49542286947</v>
      </c>
      <c r="J3" s="93">
        <f t="shared" ref="J3:J29" si="10">$S3/(1+($AC$10-$O3+$P3)/36500)^$N3</f>
        <v>93599.183362254917</v>
      </c>
      <c r="K3" s="93">
        <f t="shared" ref="K3:K29" si="11">$S3/(1+($AC$11-$O3+$P3)/36500)^$N3</f>
        <v>93776.207893817744</v>
      </c>
      <c r="L3" s="93">
        <f t="shared" ref="L3:L29" si="12">$S3/(1+($AC$5-$O3+$P3)/36500)^$N3</f>
        <v>92719.09671393664</v>
      </c>
      <c r="M3" s="92" t="s">
        <v>1003</v>
      </c>
      <c r="N3" s="92">
        <f>167-$AD$19</f>
        <v>138</v>
      </c>
      <c r="O3" s="92">
        <v>0</v>
      </c>
      <c r="P3" s="92">
        <v>0</v>
      </c>
      <c r="Q3" s="92">
        <v>0</v>
      </c>
      <c r="R3" s="92">
        <f t="shared" si="0"/>
        <v>4.5245901639344259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90675.441035573895</v>
      </c>
      <c r="C4" s="95">
        <f t="shared" si="3"/>
        <v>90841.444953896615</v>
      </c>
      <c r="D4" s="95">
        <f t="shared" si="4"/>
        <v>91049.379857422769</v>
      </c>
      <c r="E4" s="95">
        <f t="shared" si="5"/>
        <v>91257.793577899924</v>
      </c>
      <c r="F4" s="95">
        <f t="shared" si="6"/>
        <v>91466.687224494803</v>
      </c>
      <c r="G4" s="95">
        <f t="shared" si="7"/>
        <v>91676.061908948905</v>
      </c>
      <c r="H4" s="95">
        <f t="shared" si="8"/>
        <v>91885.918745604213</v>
      </c>
      <c r="I4" s="95">
        <f t="shared" si="9"/>
        <v>92096.258851391583</v>
      </c>
      <c r="J4" s="95">
        <f t="shared" si="10"/>
        <v>92307.083345848048</v>
      </c>
      <c r="K4" s="95">
        <f t="shared" si="11"/>
        <v>92518.3933511254</v>
      </c>
      <c r="L4" s="95">
        <f t="shared" si="12"/>
        <v>91257.793577899924</v>
      </c>
      <c r="M4" s="94" t="s">
        <v>1004</v>
      </c>
      <c r="N4" s="94">
        <f>196-$AD$19</f>
        <v>167</v>
      </c>
      <c r="O4" s="94">
        <v>0</v>
      </c>
      <c r="P4" s="94">
        <v>0</v>
      </c>
      <c r="Q4" s="94">
        <v>0</v>
      </c>
      <c r="R4" s="94">
        <f t="shared" si="0"/>
        <v>5.4754098360655741</v>
      </c>
      <c r="S4" s="95">
        <v>100000</v>
      </c>
      <c r="T4" s="95">
        <v>90500</v>
      </c>
      <c r="U4" s="95">
        <f t="shared" si="13"/>
        <v>100000.00000000001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71514.775329407857</v>
      </c>
      <c r="C5" s="91">
        <f t="shared" si="3"/>
        <v>71964.211338900335</v>
      </c>
      <c r="D5" s="91">
        <f t="shared" si="4"/>
        <v>72529.987365332694</v>
      </c>
      <c r="E5" s="91">
        <f t="shared" si="5"/>
        <v>73100.219308532047</v>
      </c>
      <c r="F5" s="91">
        <f t="shared" si="6"/>
        <v>73674.942323975469</v>
      </c>
      <c r="G5" s="91">
        <f t="shared" si="7"/>
        <v>74254.191844962741</v>
      </c>
      <c r="H5" s="91">
        <f t="shared" si="8"/>
        <v>74838.003584871054</v>
      </c>
      <c r="I5" s="91">
        <f t="shared" si="9"/>
        <v>75426.41353932301</v>
      </c>
      <c r="J5" s="91">
        <f t="shared" si="10"/>
        <v>76019.457988452472</v>
      </c>
      <c r="K5" s="91">
        <f t="shared" si="11"/>
        <v>76617.173499164841</v>
      </c>
      <c r="L5" s="91">
        <f t="shared" si="12"/>
        <v>73100.219308532047</v>
      </c>
      <c r="M5" s="90" t="s">
        <v>1005</v>
      </c>
      <c r="N5" s="90">
        <f>601-$AD$19</f>
        <v>572</v>
      </c>
      <c r="O5" s="90">
        <v>0</v>
      </c>
      <c r="P5" s="90">
        <v>0</v>
      </c>
      <c r="Q5" s="90">
        <v>0</v>
      </c>
      <c r="R5" s="90">
        <f t="shared" si="0"/>
        <v>18.754098360655739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86724.870734526718</v>
      </c>
      <c r="C6" s="93">
        <f t="shared" si="3"/>
        <v>86955.993617263637</v>
      </c>
      <c r="D6" s="93">
        <f t="shared" si="4"/>
        <v>87245.76716262431</v>
      </c>
      <c r="E6" s="93">
        <f t="shared" si="5"/>
        <v>87536.510341129018</v>
      </c>
      <c r="F6" s="93">
        <f t="shared" si="6"/>
        <v>87828.226410689109</v>
      </c>
      <c r="G6" s="93">
        <f t="shared" si="7"/>
        <v>88120.918640193267</v>
      </c>
      <c r="H6" s="93">
        <f t="shared" si="8"/>
        <v>88414.590309572435</v>
      </c>
      <c r="I6" s="93">
        <f t="shared" si="9"/>
        <v>88709.244709812367</v>
      </c>
      <c r="J6" s="93">
        <f t="shared" si="10"/>
        <v>89004.885143006788</v>
      </c>
      <c r="K6" s="93">
        <f t="shared" si="11"/>
        <v>89301.514922398535</v>
      </c>
      <c r="L6" s="93">
        <f t="shared" si="12"/>
        <v>87536.510341129018</v>
      </c>
      <c r="M6" s="92" t="s">
        <v>1006</v>
      </c>
      <c r="N6" s="92">
        <f>272-$AD$19</f>
        <v>243</v>
      </c>
      <c r="O6" s="92">
        <v>0</v>
      </c>
      <c r="P6" s="92">
        <v>0</v>
      </c>
      <c r="Q6" s="92">
        <v>0</v>
      </c>
      <c r="R6" s="92">
        <f t="shared" si="0"/>
        <v>7.9672131147540988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72698.133053201338</v>
      </c>
      <c r="C7" s="95">
        <f t="shared" si="3"/>
        <v>73132.57480421575</v>
      </c>
      <c r="D7" s="95">
        <f t="shared" si="4"/>
        <v>73679.286491198698</v>
      </c>
      <c r="E7" s="95">
        <f t="shared" si="5"/>
        <v>74230.092758720217</v>
      </c>
      <c r="F7" s="95">
        <f t="shared" si="6"/>
        <v>74785.024329719556</v>
      </c>
      <c r="G7" s="95">
        <f t="shared" si="7"/>
        <v>75344.112158058648</v>
      </c>
      <c r="H7" s="95">
        <f t="shared" si="8"/>
        <v>75907.387430314353</v>
      </c>
      <c r="I7" s="95">
        <f t="shared" si="9"/>
        <v>76474.881567483448</v>
      </c>
      <c r="J7" s="95">
        <f t="shared" si="10"/>
        <v>77046.62622677804</v>
      </c>
      <c r="K7" s="95">
        <f t="shared" si="11"/>
        <v>77622.653303412008</v>
      </c>
      <c r="L7" s="95">
        <f t="shared" si="12"/>
        <v>74230.092758720217</v>
      </c>
      <c r="M7" s="94" t="s">
        <v>1007</v>
      </c>
      <c r="N7" s="94">
        <f>573-$AD$19</f>
        <v>544</v>
      </c>
      <c r="O7" s="94">
        <v>0</v>
      </c>
      <c r="P7" s="94">
        <v>0</v>
      </c>
      <c r="Q7" s="94">
        <v>0</v>
      </c>
      <c r="R7" s="94">
        <f t="shared" si="0"/>
        <v>17.83606557377049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86016.134443069895</v>
      </c>
      <c r="C8" s="91">
        <f t="shared" si="3"/>
        <v>86258.594033586996</v>
      </c>
      <c r="D8" s="91">
        <f t="shared" si="4"/>
        <v>86562.633584231153</v>
      </c>
      <c r="E8" s="91">
        <f t="shared" si="5"/>
        <v>86867.748981408367</v>
      </c>
      <c r="F8" s="91">
        <f t="shared" si="6"/>
        <v>87173.94404682552</v>
      </c>
      <c r="G8" s="91">
        <f t="shared" si="7"/>
        <v>87481.222615803214</v>
      </c>
      <c r="H8" s="91">
        <f t="shared" si="8"/>
        <v>87789.588537353731</v>
      </c>
      <c r="I8" s="91">
        <f t="shared" si="9"/>
        <v>88099.04567420388</v>
      </c>
      <c r="J8" s="91">
        <f t="shared" si="10"/>
        <v>88409.597902860623</v>
      </c>
      <c r="K8" s="91">
        <f t="shared" si="11"/>
        <v>88721.249113664177</v>
      </c>
      <c r="L8" s="91">
        <f t="shared" si="12"/>
        <v>86867.748981408367</v>
      </c>
      <c r="M8" s="90" t="s">
        <v>1009</v>
      </c>
      <c r="N8" s="90">
        <f>286-$AD$19</f>
        <v>257</v>
      </c>
      <c r="O8" s="90">
        <v>0</v>
      </c>
      <c r="P8" s="90">
        <v>0</v>
      </c>
      <c r="Q8" s="90">
        <v>0</v>
      </c>
      <c r="R8" s="90">
        <f t="shared" si="0"/>
        <v>8.4262295081967213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77267.480776483324</v>
      </c>
      <c r="C9" s="93">
        <f t="shared" si="3"/>
        <v>77640.74061186894</v>
      </c>
      <c r="D9" s="93">
        <f t="shared" si="4"/>
        <v>78109.857867789033</v>
      </c>
      <c r="E9" s="93">
        <f t="shared" si="5"/>
        <v>78581.816083061611</v>
      </c>
      <c r="F9" s="93">
        <f t="shared" si="6"/>
        <v>79056.63250170766</v>
      </c>
      <c r="G9" s="93">
        <f t="shared" si="7"/>
        <v>79534.324472631371</v>
      </c>
      <c r="H9" s="93">
        <f t="shared" si="8"/>
        <v>80014.909450304767</v>
      </c>
      <c r="I9" s="93">
        <f t="shared" si="9"/>
        <v>80498.404995370962</v>
      </c>
      <c r="J9" s="93">
        <f t="shared" si="10"/>
        <v>80984.828775316972</v>
      </c>
      <c r="K9" s="93">
        <f t="shared" si="11"/>
        <v>81474.198565131475</v>
      </c>
      <c r="L9" s="93">
        <f t="shared" si="12"/>
        <v>78581.816083061611</v>
      </c>
      <c r="M9" s="92" t="s">
        <v>1008</v>
      </c>
      <c r="N9" s="92">
        <f>469-$AD$19</f>
        <v>440</v>
      </c>
      <c r="O9" s="92">
        <v>0</v>
      </c>
      <c r="P9" s="92">
        <v>0</v>
      </c>
      <c r="Q9" s="92">
        <v>0</v>
      </c>
      <c r="R9" s="92">
        <f t="shared" si="0"/>
        <v>14.426229508196721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77267.480776483324</v>
      </c>
      <c r="C10" s="95">
        <f t="shared" si="3"/>
        <v>77640.74061186894</v>
      </c>
      <c r="D10" s="95">
        <f t="shared" si="4"/>
        <v>78109.857867789033</v>
      </c>
      <c r="E10" s="95">
        <f t="shared" si="5"/>
        <v>78581.816083061611</v>
      </c>
      <c r="F10" s="95">
        <f t="shared" si="6"/>
        <v>79056.63250170766</v>
      </c>
      <c r="G10" s="95">
        <f t="shared" si="7"/>
        <v>79534.324472631371</v>
      </c>
      <c r="H10" s="95">
        <f t="shared" si="8"/>
        <v>80014.909450304767</v>
      </c>
      <c r="I10" s="95">
        <f t="shared" si="9"/>
        <v>80498.404995370962</v>
      </c>
      <c r="J10" s="95">
        <f t="shared" si="10"/>
        <v>80984.828775316972</v>
      </c>
      <c r="K10" s="95">
        <f t="shared" si="11"/>
        <v>81474.198565131475</v>
      </c>
      <c r="L10" s="95">
        <f t="shared" si="12"/>
        <v>78581.816083061611</v>
      </c>
      <c r="M10" s="94" t="s">
        <v>1008</v>
      </c>
      <c r="N10" s="94">
        <f>469-$AD$19</f>
        <v>440</v>
      </c>
      <c r="O10" s="94">
        <v>0</v>
      </c>
      <c r="P10" s="94">
        <v>0</v>
      </c>
      <c r="Q10" s="94">
        <v>0</v>
      </c>
      <c r="R10" s="94">
        <f t="shared" si="0"/>
        <v>14.426229508196721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70639.915176215392</v>
      </c>
      <c r="C11" s="91">
        <f t="shared" si="3"/>
        <v>71100.20451783351</v>
      </c>
      <c r="D11" s="91">
        <f t="shared" si="4"/>
        <v>71679.793338380157</v>
      </c>
      <c r="E11" s="91">
        <f t="shared" si="5"/>
        <v>72264.114835944376</v>
      </c>
      <c r="F11" s="91">
        <f t="shared" si="6"/>
        <v>72853.207721167884</v>
      </c>
      <c r="G11" s="91">
        <f t="shared" si="7"/>
        <v>73447.111021832039</v>
      </c>
      <c r="H11" s="91">
        <f t="shared" si="8"/>
        <v>74045.864085516951</v>
      </c>
      <c r="I11" s="91">
        <f t="shared" si="9"/>
        <v>74649.5065821756</v>
      </c>
      <c r="J11" s="91">
        <f t="shared" si="10"/>
        <v>75258.078506811464</v>
      </c>
      <c r="K11" s="91">
        <f t="shared" si="11"/>
        <v>75871.620182154351</v>
      </c>
      <c r="L11" s="91">
        <f t="shared" si="12"/>
        <v>72264.114835944376</v>
      </c>
      <c r="M11" s="90" t="s">
        <v>1012</v>
      </c>
      <c r="N11" s="90">
        <f>622-$AD$19</f>
        <v>593</v>
      </c>
      <c r="O11" s="90">
        <v>0</v>
      </c>
      <c r="P11" s="90">
        <v>0</v>
      </c>
      <c r="Q11" s="90">
        <v>0</v>
      </c>
      <c r="R11" s="90">
        <f t="shared" si="0"/>
        <v>19.442622950819672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87388.2108832417</v>
      </c>
      <c r="C12" s="93">
        <f>$S12/(1+($AC$3-$O12+$P12)/36500)^$N12</f>
        <v>87608.626703974835</v>
      </c>
      <c r="D12" s="93">
        <f t="shared" si="4"/>
        <v>87884.931853218863</v>
      </c>
      <c r="E12" s="93">
        <f t="shared" si="5"/>
        <v>88162.11223041729</v>
      </c>
      <c r="F12" s="93">
        <f t="shared" si="6"/>
        <v>88440.170620000266</v>
      </c>
      <c r="G12" s="93">
        <f t="shared" si="7"/>
        <v>88719.109815281219</v>
      </c>
      <c r="H12" s="93">
        <f t="shared" si="8"/>
        <v>88998.93261851203</v>
      </c>
      <c r="I12" s="93">
        <f t="shared" si="9"/>
        <v>89279.641840887896</v>
      </c>
      <c r="J12" s="93">
        <f t="shared" si="10"/>
        <v>89561.24030259093</v>
      </c>
      <c r="K12" s="93">
        <f t="shared" si="11"/>
        <v>89843.730832822563</v>
      </c>
      <c r="L12" s="93">
        <f t="shared" si="12"/>
        <v>88162.11223041729</v>
      </c>
      <c r="M12" s="92" t="s">
        <v>1013</v>
      </c>
      <c r="N12" s="92">
        <f>259-$AD$19</f>
        <v>230</v>
      </c>
      <c r="O12" s="92">
        <v>0</v>
      </c>
      <c r="P12" s="92">
        <v>0</v>
      </c>
      <c r="Q12" s="92">
        <v>0</v>
      </c>
      <c r="R12" s="92">
        <f t="shared" si="0"/>
        <v>7.5409836065573774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68079.027062813824</v>
      </c>
      <c r="C13" s="95">
        <f t="shared" si="3"/>
        <v>68569.92729849738</v>
      </c>
      <c r="D13" s="95">
        <f t="shared" si="4"/>
        <v>69188.541016545772</v>
      </c>
      <c r="E13" s="95">
        <f t="shared" si="5"/>
        <v>69812.744233837788</v>
      </c>
      <c r="F13" s="95">
        <f t="shared" si="6"/>
        <v>70442.587532009464</v>
      </c>
      <c r="G13" s="95">
        <f t="shared" si="7"/>
        <v>71078.121951102235</v>
      </c>
      <c r="H13" s="95">
        <f t="shared" si="8"/>
        <v>71719.398993784213</v>
      </c>
      <c r="I13" s="95">
        <f t="shared" si="9"/>
        <v>72366.470629495467</v>
      </c>
      <c r="J13" s="95">
        <f t="shared" si="10"/>
        <v>73019.389298719194</v>
      </c>
      <c r="K13" s="95">
        <f t="shared" si="11"/>
        <v>73678.207917266045</v>
      </c>
      <c r="L13" s="95">
        <f t="shared" si="12"/>
        <v>69812.744233837788</v>
      </c>
      <c r="M13" s="94" t="s">
        <v>1014</v>
      </c>
      <c r="N13" s="94">
        <f>685-$AD$19</f>
        <v>656</v>
      </c>
      <c r="O13" s="94">
        <v>0</v>
      </c>
      <c r="P13" s="94">
        <v>0</v>
      </c>
      <c r="Q13" s="94">
        <v>0</v>
      </c>
      <c r="R13" s="94">
        <f t="shared" si="0"/>
        <v>21.508196721311474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69205.533328575679</v>
      </c>
      <c r="C14" s="91">
        <f t="shared" si="3"/>
        <v>69683.183407115241</v>
      </c>
      <c r="D14" s="91">
        <f t="shared" si="4"/>
        <v>70284.892092821639</v>
      </c>
      <c r="E14" s="91">
        <f t="shared" si="5"/>
        <v>70891.80482956137</v>
      </c>
      <c r="F14" s="91">
        <f t="shared" si="6"/>
        <v>71503.966698259464</v>
      </c>
      <c r="G14" s="91">
        <f t="shared" si="7"/>
        <v>72121.423170957481</v>
      </c>
      <c r="H14" s="91">
        <f t="shared" si="8"/>
        <v>72744.220114271186</v>
      </c>
      <c r="I14" s="91">
        <f t="shared" si="9"/>
        <v>73372.403792766985</v>
      </c>
      <c r="J14" s="91">
        <f t="shared" si="10"/>
        <v>74006.02087245349</v>
      </c>
      <c r="K14" s="91">
        <f t="shared" si="11"/>
        <v>74645.118424278437</v>
      </c>
      <c r="L14" s="91">
        <f t="shared" si="12"/>
        <v>70891.80482956137</v>
      </c>
      <c r="M14" s="90" t="s">
        <v>1015</v>
      </c>
      <c r="N14" s="90">
        <f>657-$AD$19</f>
        <v>628</v>
      </c>
      <c r="O14" s="90">
        <v>0</v>
      </c>
      <c r="P14" s="90">
        <v>0</v>
      </c>
      <c r="Q14" s="90">
        <v>0</v>
      </c>
      <c r="R14" s="90">
        <f t="shared" si="0"/>
        <v>20.590163934426229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69205.533328575679</v>
      </c>
      <c r="C15" s="93">
        <f t="shared" si="3"/>
        <v>69683.183407115241</v>
      </c>
      <c r="D15" s="93">
        <f t="shared" si="4"/>
        <v>70284.892092821639</v>
      </c>
      <c r="E15" s="93">
        <f t="shared" si="5"/>
        <v>70891.80482956137</v>
      </c>
      <c r="F15" s="93">
        <f t="shared" si="6"/>
        <v>71503.966698259464</v>
      </c>
      <c r="G15" s="93">
        <f t="shared" si="7"/>
        <v>72121.423170957481</v>
      </c>
      <c r="H15" s="93">
        <f t="shared" si="8"/>
        <v>72744.220114271186</v>
      </c>
      <c r="I15" s="93">
        <f t="shared" si="9"/>
        <v>73372.403792766985</v>
      </c>
      <c r="J15" s="93">
        <f t="shared" si="10"/>
        <v>74006.02087245349</v>
      </c>
      <c r="K15" s="93">
        <f t="shared" si="11"/>
        <v>74645.118424278437</v>
      </c>
      <c r="L15" s="93">
        <f t="shared" si="12"/>
        <v>70891.80482956137</v>
      </c>
      <c r="M15" s="92" t="s">
        <v>1015</v>
      </c>
      <c r="N15" s="92">
        <f>657-$AD$19</f>
        <v>628</v>
      </c>
      <c r="O15" s="92">
        <v>0</v>
      </c>
      <c r="P15" s="92">
        <v>0</v>
      </c>
      <c r="Q15" s="92">
        <v>0</v>
      </c>
      <c r="R15" s="92">
        <f t="shared" si="0"/>
        <v>20.590163934426229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71514.775329407857</v>
      </c>
      <c r="C16" s="95">
        <f t="shared" si="3"/>
        <v>71964.211338900335</v>
      </c>
      <c r="D16" s="95">
        <f t="shared" si="4"/>
        <v>72529.987365332694</v>
      </c>
      <c r="E16" s="95">
        <f t="shared" si="5"/>
        <v>73100.219308532047</v>
      </c>
      <c r="F16" s="95">
        <f t="shared" si="6"/>
        <v>73674.942323975469</v>
      </c>
      <c r="G16" s="95">
        <f t="shared" si="7"/>
        <v>74254.191844962741</v>
      </c>
      <c r="H16" s="95">
        <f t="shared" si="8"/>
        <v>74838.003584871054</v>
      </c>
      <c r="I16" s="95">
        <f t="shared" si="9"/>
        <v>75426.41353932301</v>
      </c>
      <c r="J16" s="95">
        <f t="shared" si="10"/>
        <v>76019.457988452472</v>
      </c>
      <c r="K16" s="95">
        <f t="shared" si="11"/>
        <v>76617.173499164841</v>
      </c>
      <c r="L16" s="95">
        <f t="shared" si="12"/>
        <v>73100.219308532047</v>
      </c>
      <c r="M16" s="94" t="s">
        <v>1005</v>
      </c>
      <c r="N16" s="94">
        <f>601-$AD$19</f>
        <v>572</v>
      </c>
      <c r="O16" s="94">
        <v>0</v>
      </c>
      <c r="P16" s="94">
        <v>0</v>
      </c>
      <c r="Q16" s="94">
        <v>0</v>
      </c>
      <c r="R16" s="94">
        <f t="shared" si="0"/>
        <v>18.754098360655739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83099.129039475723</v>
      </c>
      <c r="C17" s="91">
        <f t="shared" si="3"/>
        <v>84354.15401410003</v>
      </c>
      <c r="D17" s="91">
        <f t="shared" si="4"/>
        <v>85949.643052872692</v>
      </c>
      <c r="E17" s="91">
        <f t="shared" si="5"/>
        <v>87575.331923286911</v>
      </c>
      <c r="F17" s="91">
        <f t="shared" si="6"/>
        <v>89231.792681003732</v>
      </c>
      <c r="G17" s="91">
        <f t="shared" si="7"/>
        <v>90919.608225910692</v>
      </c>
      <c r="H17" s="91">
        <f t="shared" si="8"/>
        <v>92639.372507766922</v>
      </c>
      <c r="I17" s="91">
        <f t="shared" si="9"/>
        <v>94391.690735670956</v>
      </c>
      <c r="J17" s="91">
        <f t="shared" si="10"/>
        <v>96177.179592000946</v>
      </c>
      <c r="K17" s="91">
        <f t="shared" si="11"/>
        <v>97996.467449721356</v>
      </c>
      <c r="L17" s="91">
        <f t="shared" si="12"/>
        <v>87575.331923286911</v>
      </c>
      <c r="M17" s="90" t="s">
        <v>1020</v>
      </c>
      <c r="N17" s="90">
        <f>1397-$AD$19</f>
        <v>1368</v>
      </c>
      <c r="O17" s="90">
        <v>17</v>
      </c>
      <c r="P17" s="90">
        <f>$AI$2</f>
        <v>0.54</v>
      </c>
      <c r="Q17" s="90">
        <v>6</v>
      </c>
      <c r="R17" s="90">
        <f t="shared" si="0"/>
        <v>44.852459016393439</v>
      </c>
      <c r="S17" s="91">
        <v>100000</v>
      </c>
      <c r="T17" s="91">
        <v>96000</v>
      </c>
      <c r="U17" s="91">
        <f t="shared" si="13"/>
        <v>185278.38211714226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98667.805740300857</v>
      </c>
      <c r="C18" s="93">
        <f t="shared" si="3"/>
        <v>99247.9842070499</v>
      </c>
      <c r="D18" s="93">
        <f>$S18/(1+($AC$4-$O18+$P18)/36500)^$N18</f>
        <v>99978.01611995975</v>
      </c>
      <c r="E18" s="93">
        <f t="shared" si="5"/>
        <v>100713.42799192901</v>
      </c>
      <c r="F18" s="93">
        <f t="shared" si="6"/>
        <v>101454.25954500859</v>
      </c>
      <c r="G18" s="93">
        <f t="shared" si="7"/>
        <v>102200.55079506669</v>
      </c>
      <c r="H18" s="93">
        <f t="shared" si="8"/>
        <v>102952.3420539925</v>
      </c>
      <c r="I18" s="93">
        <f t="shared" si="9"/>
        <v>103709.67393185513</v>
      </c>
      <c r="J18" s="93">
        <f t="shared" si="10"/>
        <v>104472.58733916526</v>
      </c>
      <c r="K18" s="93">
        <f t="shared" si="11"/>
        <v>105241.1234890584</v>
      </c>
      <c r="L18" s="93">
        <f t="shared" si="12"/>
        <v>100713.42799192901</v>
      </c>
      <c r="M18" s="92" t="s">
        <v>986</v>
      </c>
      <c r="N18" s="92">
        <f>564-$AD$19</f>
        <v>535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17.540983606557376</v>
      </c>
      <c r="S18" s="93">
        <v>100000</v>
      </c>
      <c r="T18" s="93">
        <v>100000</v>
      </c>
      <c r="U18" s="93">
        <f t="shared" si="13"/>
        <v>135008.53870705314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91443.672979731957</v>
      </c>
      <c r="C19" s="95">
        <f t="shared" si="3"/>
        <v>91998.433977252309</v>
      </c>
      <c r="D19" s="95">
        <f t="shared" si="4"/>
        <v>92696.629081201914</v>
      </c>
      <c r="E19" s="95">
        <f t="shared" si="5"/>
        <v>93400.132604032566</v>
      </c>
      <c r="F19" s="95">
        <f t="shared" si="6"/>
        <v>94108.984979480825</v>
      </c>
      <c r="G19" s="95">
        <f t="shared" si="7"/>
        <v>94823.226949874079</v>
      </c>
      <c r="H19" s="95">
        <f t="shared" si="8"/>
        <v>95542.899568397159</v>
      </c>
      <c r="I19" s="95">
        <f t="shared" si="9"/>
        <v>96268.044201537807</v>
      </c>
      <c r="J19" s="95">
        <f t="shared" si="10"/>
        <v>96998.702531459116</v>
      </c>
      <c r="K19" s="95">
        <f t="shared" si="11"/>
        <v>97734.916558379409</v>
      </c>
      <c r="L19" s="95">
        <f t="shared" si="12"/>
        <v>93400.132604032566</v>
      </c>
      <c r="M19" s="94" t="s">
        <v>987</v>
      </c>
      <c r="N19" s="94">
        <f>581-$AD$19</f>
        <v>552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18.098360655737704</v>
      </c>
      <c r="S19" s="95">
        <v>100000</v>
      </c>
      <c r="T19" s="95">
        <v>92000</v>
      </c>
      <c r="U19" s="95">
        <f t="shared" si="13"/>
        <v>126376.64641914619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29</v>
      </c>
      <c r="AF19" s="26"/>
    </row>
    <row r="20" spans="1:32" x14ac:dyDescent="0.25">
      <c r="A20" s="90" t="s">
        <v>961</v>
      </c>
      <c r="B20" s="91">
        <f>$S20/(1+($AC$2-$O20+$P20)/36500)^$N20</f>
        <v>98497.28712371859</v>
      </c>
      <c r="C20" s="91">
        <f t="shared" si="3"/>
        <v>99151.407876855679</v>
      </c>
      <c r="D20" s="91">
        <f t="shared" si="4"/>
        <v>99975.18116767719</v>
      </c>
      <c r="E20" s="91">
        <f t="shared" si="5"/>
        <v>100805.80998688677</v>
      </c>
      <c r="F20" s="91">
        <f t="shared" si="6"/>
        <v>101643.35148201408</v>
      </c>
      <c r="G20" s="91">
        <f t="shared" si="7"/>
        <v>102487.86327774588</v>
      </c>
      <c r="H20" s="91">
        <f t="shared" si="8"/>
        <v>103339.40347994659</v>
      </c>
      <c r="I20" s="91">
        <f t="shared" si="9"/>
        <v>104198.03067964302</v>
      </c>
      <c r="J20" s="91">
        <f t="shared" si="10"/>
        <v>105063.80395714116</v>
      </c>
      <c r="K20" s="91">
        <f t="shared" si="11"/>
        <v>105936.7828860692</v>
      </c>
      <c r="L20" s="91">
        <f t="shared" si="12"/>
        <v>100805.80998688677</v>
      </c>
      <c r="M20" s="90" t="s">
        <v>988</v>
      </c>
      <c r="N20" s="90">
        <f>633-$AD$19</f>
        <v>604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19.803278688524589</v>
      </c>
      <c r="S20" s="91">
        <v>100000</v>
      </c>
      <c r="T20" s="91">
        <v>100000</v>
      </c>
      <c r="U20" s="91">
        <f t="shared" si="13"/>
        <v>140337.64395709001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98329.528110300642</v>
      </c>
      <c r="C21" s="93">
        <f t="shared" si="3"/>
        <v>99056.323147547431</v>
      </c>
      <c r="D21" s="93">
        <f t="shared" si="4"/>
        <v>99972.387380307671</v>
      </c>
      <c r="E21" s="93">
        <f t="shared" si="5"/>
        <v>100896.93601848814</v>
      </c>
      <c r="F21" s="93">
        <f t="shared" si="6"/>
        <v>101830.04776082704</v>
      </c>
      <c r="G21" s="93">
        <f t="shared" si="7"/>
        <v>102771.8020371232</v>
      </c>
      <c r="H21" s="93">
        <f t="shared" si="8"/>
        <v>103722.27901507044</v>
      </c>
      <c r="I21" s="93">
        <f t="shared" si="9"/>
        <v>104681.55960707844</v>
      </c>
      <c r="J21" s="93">
        <f t="shared" si="10"/>
        <v>105649.72547726701</v>
      </c>
      <c r="K21" s="93">
        <f t="shared" si="11"/>
        <v>106626.85904840491</v>
      </c>
      <c r="L21" s="93">
        <f t="shared" si="12"/>
        <v>100896.93601848814</v>
      </c>
      <c r="M21" s="92" t="s">
        <v>989</v>
      </c>
      <c r="N21" s="92">
        <f>701-$AD$19</f>
        <v>672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22.032786885245901</v>
      </c>
      <c r="S21" s="93">
        <v>100000</v>
      </c>
      <c r="T21" s="93">
        <v>100000</v>
      </c>
      <c r="U21" s="93">
        <f t="shared" si="13"/>
        <v>145795.27850014323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92777.047396397815</v>
      </c>
      <c r="C22" s="95">
        <f t="shared" si="3"/>
        <v>93490.401146767603</v>
      </c>
      <c r="D22" s="95">
        <f t="shared" si="4"/>
        <v>94389.822562468369</v>
      </c>
      <c r="E22" s="95">
        <f t="shared" si="5"/>
        <v>95297.909331218834</v>
      </c>
      <c r="F22" s="95">
        <f t="shared" si="6"/>
        <v>96214.745058611821</v>
      </c>
      <c r="G22" s="95">
        <f t="shared" si="7"/>
        <v>97140.41415801378</v>
      </c>
      <c r="H22" s="95">
        <f t="shared" si="8"/>
        <v>98075.001858458345</v>
      </c>
      <c r="I22" s="95">
        <f t="shared" si="9"/>
        <v>99018.594212448384</v>
      </c>
      <c r="J22" s="95">
        <f t="shared" si="10"/>
        <v>99971.278104035504</v>
      </c>
      <c r="K22" s="95">
        <f t="shared" si="11"/>
        <v>100933.1412567505</v>
      </c>
      <c r="L22" s="95">
        <f t="shared" si="12"/>
        <v>95297.909331218834</v>
      </c>
      <c r="M22" s="94" t="s">
        <v>1018</v>
      </c>
      <c r="N22" s="94">
        <f>728-$AD$19</f>
        <v>699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22.918032786885245</v>
      </c>
      <c r="S22" s="95">
        <v>100000</v>
      </c>
      <c r="T22" s="95">
        <v>95000</v>
      </c>
      <c r="U22" s="95">
        <f t="shared" si="13"/>
        <v>139756.80978761669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90119.75860985952</v>
      </c>
      <c r="C23" s="91">
        <f t="shared" si="3"/>
        <v>90755.942402992092</v>
      </c>
      <c r="D23" s="91">
        <f t="shared" si="4"/>
        <v>91557.501278654541</v>
      </c>
      <c r="E23" s="91">
        <f t="shared" si="5"/>
        <v>92366.150668010581</v>
      </c>
      <c r="F23" s="91">
        <f t="shared" si="6"/>
        <v>93181.953391448929</v>
      </c>
      <c r="G23" s="91">
        <f t="shared" si="7"/>
        <v>94004.972826863217</v>
      </c>
      <c r="H23" s="91">
        <f t="shared" si="8"/>
        <v>94835.272914500558</v>
      </c>
      <c r="I23" s="91">
        <f t="shared" si="9"/>
        <v>95672.918162039146</v>
      </c>
      <c r="J23" s="91">
        <f t="shared" si="10"/>
        <v>96517.973649605061</v>
      </c>
      <c r="K23" s="91">
        <f t="shared" si="11"/>
        <v>97370.505034821763</v>
      </c>
      <c r="L23" s="91">
        <f t="shared" si="12"/>
        <v>92366.150668010581</v>
      </c>
      <c r="M23" s="90" t="s">
        <v>990</v>
      </c>
      <c r="N23" s="90">
        <f>671-$AD$19</f>
        <v>642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21.049180327868854</v>
      </c>
      <c r="S23" s="91">
        <v>100000</v>
      </c>
      <c r="T23" s="91">
        <v>90600</v>
      </c>
      <c r="U23" s="91">
        <f t="shared" si="13"/>
        <v>131293.41346777207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83380.669805269208</v>
      </c>
      <c r="C24" s="93">
        <f t="shared" si="3"/>
        <v>84258.654135567413</v>
      </c>
      <c r="D24" s="93">
        <f>$S24/(1+($AC$4-$O24+$P24)/36500)^$N24</f>
        <v>85369.160530727851</v>
      </c>
      <c r="E24" s="93">
        <f t="shared" si="5"/>
        <v>86494.318613006501</v>
      </c>
      <c r="F24" s="93">
        <f t="shared" si="6"/>
        <v>87634.321897021509</v>
      </c>
      <c r="G24" s="93">
        <f t="shared" si="7"/>
        <v>88789.366455994052</v>
      </c>
      <c r="H24" s="93">
        <f t="shared" si="8"/>
        <v>89959.650955511373</v>
      </c>
      <c r="I24" s="93">
        <f t="shared" si="9"/>
        <v>91145.376688006509</v>
      </c>
      <c r="J24" s="93">
        <f t="shared" si="10"/>
        <v>92346.747607353405</v>
      </c>
      <c r="K24" s="93">
        <f t="shared" si="11"/>
        <v>93563.97036424384</v>
      </c>
      <c r="L24" s="93">
        <f t="shared" si="12"/>
        <v>86494.318613006501</v>
      </c>
      <c r="M24" s="92" t="s">
        <v>991</v>
      </c>
      <c r="N24" s="92">
        <f>985-$AD$19</f>
        <v>956</v>
      </c>
      <c r="O24" s="92">
        <v>15</v>
      </c>
      <c r="P24" s="92">
        <f>$AI$2</f>
        <v>0.54</v>
      </c>
      <c r="Q24" s="92">
        <v>6</v>
      </c>
      <c r="R24" s="92">
        <f t="shared" si="0"/>
        <v>31.344262295081968</v>
      </c>
      <c r="S24" s="93">
        <v>100000</v>
      </c>
      <c r="T24" s="93">
        <v>85800</v>
      </c>
      <c r="U24" s="93">
        <f t="shared" si="13"/>
        <v>146021.8644797554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82220.356069958347</v>
      </c>
      <c r="C25" s="95">
        <f t="shared" si="3"/>
        <v>82521.681213118252</v>
      </c>
      <c r="D25" s="95">
        <f t="shared" si="4"/>
        <v>82899.895724212693</v>
      </c>
      <c r="E25" s="95">
        <f t="shared" si="5"/>
        <v>83279.848887065978</v>
      </c>
      <c r="F25" s="95">
        <f t="shared" si="6"/>
        <v>83661.548718235659</v>
      </c>
      <c r="G25" s="95">
        <f t="shared" si="7"/>
        <v>84045.00327133431</v>
      </c>
      <c r="H25" s="95">
        <f t="shared" si="8"/>
        <v>84430.22063723777</v>
      </c>
      <c r="I25" s="95">
        <f t="shared" si="9"/>
        <v>84817.208944225189</v>
      </c>
      <c r="J25" s="95">
        <f t="shared" si="10"/>
        <v>85205.976358173328</v>
      </c>
      <c r="K25" s="95">
        <f t="shared" si="11"/>
        <v>85596.53108273563</v>
      </c>
      <c r="L25" s="95">
        <f t="shared" si="12"/>
        <v>83279.848887065978</v>
      </c>
      <c r="M25" s="94" t="s">
        <v>992</v>
      </c>
      <c r="N25" s="94">
        <f>363-$AD$19</f>
        <v>334</v>
      </c>
      <c r="O25" s="94">
        <v>0</v>
      </c>
      <c r="P25" s="94">
        <v>0</v>
      </c>
      <c r="Q25" s="94">
        <v>0</v>
      </c>
      <c r="R25" s="94">
        <f t="shared" si="0"/>
        <v>10.950819672131148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93616.995123680113</v>
      </c>
      <c r="C26" s="91">
        <f t="shared" si="3"/>
        <v>94898.821816393684</v>
      </c>
      <c r="D26" s="91">
        <f t="shared" si="4"/>
        <v>96525.834711957767</v>
      </c>
      <c r="E26" s="91">
        <f t="shared" si="5"/>
        <v>98180.765136465576</v>
      </c>
      <c r="F26" s="91">
        <f t="shared" si="6"/>
        <v>99864.092512515723</v>
      </c>
      <c r="G26" s="91">
        <f t="shared" si="7"/>
        <v>101576.30450243584</v>
      </c>
      <c r="H26" s="91">
        <f t="shared" si="8"/>
        <v>103317.89715009517</v>
      </c>
      <c r="I26" s="91">
        <f t="shared" si="9"/>
        <v>105089.37502501991</v>
      </c>
      <c r="J26" s="91">
        <f t="shared" si="10"/>
        <v>106891.25136904824</v>
      </c>
      <c r="K26" s="91">
        <f t="shared" si="11"/>
        <v>108724.04824556933</v>
      </c>
      <c r="L26" s="91">
        <f t="shared" si="12"/>
        <v>98180.765136465576</v>
      </c>
      <c r="M26" s="90" t="s">
        <v>983</v>
      </c>
      <c r="N26" s="90">
        <f>1270-$AD$19</f>
        <v>1241</v>
      </c>
      <c r="O26" s="90">
        <v>20</v>
      </c>
      <c r="P26" s="90">
        <f>$AI$2</f>
        <v>0.54</v>
      </c>
      <c r="Q26" s="90">
        <v>6</v>
      </c>
      <c r="R26" s="90">
        <f t="shared" si="0"/>
        <v>40.688524590163937</v>
      </c>
      <c r="S26" s="91">
        <v>100000</v>
      </c>
      <c r="T26" s="91">
        <v>100000</v>
      </c>
      <c r="U26" s="91">
        <f t="shared" si="13"/>
        <v>193755.82372772932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100075.71366797108</v>
      </c>
      <c r="C27" s="93">
        <f t="shared" si="3"/>
        <v>100432.78600953978</v>
      </c>
      <c r="D27" s="93">
        <f t="shared" si="4"/>
        <v>100880.92412768892</v>
      </c>
      <c r="E27" s="93">
        <f t="shared" si="5"/>
        <v>101331.06804969143</v>
      </c>
      <c r="F27" s="93">
        <f t="shared" si="6"/>
        <v>101783.22678091329</v>
      </c>
      <c r="G27" s="93">
        <f t="shared" si="7"/>
        <v>102237.40936726188</v>
      </c>
      <c r="H27" s="93">
        <f t="shared" si="8"/>
        <v>102693.62489540022</v>
      </c>
      <c r="I27" s="93">
        <f t="shared" si="9"/>
        <v>103151.88249290515</v>
      </c>
      <c r="J27" s="93">
        <f t="shared" si="10"/>
        <v>103612.19132845956</v>
      </c>
      <c r="K27" s="93">
        <f t="shared" si="11"/>
        <v>104074.56061204179</v>
      </c>
      <c r="L27" s="93">
        <f t="shared" si="12"/>
        <v>101331.06804969143</v>
      </c>
      <c r="M27" s="92" t="s">
        <v>985</v>
      </c>
      <c r="N27" s="92">
        <f>354-$AD$19</f>
        <v>325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10.655737704918034</v>
      </c>
      <c r="S27" s="93">
        <v>100000</v>
      </c>
      <c r="T27" s="93">
        <v>103000</v>
      </c>
      <c r="U27" s="93">
        <f t="shared" si="13"/>
        <v>121076.08431186865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99185.802919556358</v>
      </c>
      <c r="C28" s="95">
        <f t="shared" si="3"/>
        <v>100000</v>
      </c>
      <c r="D28" s="95">
        <f t="shared" si="4"/>
        <v>101027.16429193919</v>
      </c>
      <c r="E28" s="95">
        <f t="shared" si="5"/>
        <v>102064.89353702676</v>
      </c>
      <c r="F28" s="95">
        <f t="shared" si="6"/>
        <v>103113.29654863302</v>
      </c>
      <c r="G28" s="95">
        <f t="shared" si="7"/>
        <v>104172.48326231996</v>
      </c>
      <c r="H28" s="95">
        <f t="shared" si="8"/>
        <v>105242.56474753332</v>
      </c>
      <c r="I28" s="95">
        <f t="shared" si="9"/>
        <v>106323.6532192013</v>
      </c>
      <c r="J28" s="95">
        <f t="shared" si="10"/>
        <v>107415.86204963786</v>
      </c>
      <c r="K28" s="95">
        <f t="shared" si="11"/>
        <v>108519.30578045487</v>
      </c>
      <c r="L28" s="95">
        <f t="shared" si="12"/>
        <v>102064.89353702676</v>
      </c>
      <c r="M28" s="94" t="s">
        <v>1011</v>
      </c>
      <c r="N28" s="94">
        <f>775-$AD$19</f>
        <v>746</v>
      </c>
      <c r="O28" s="94">
        <v>21</v>
      </c>
      <c r="P28" s="94">
        <v>0</v>
      </c>
      <c r="Q28" s="94">
        <v>1</v>
      </c>
      <c r="R28" s="94">
        <f t="shared" si="0"/>
        <v>24.459016393442624</v>
      </c>
      <c r="S28" s="95">
        <v>100000</v>
      </c>
      <c r="T28" s="95">
        <v>104000</v>
      </c>
      <c r="U28" s="95">
        <f t="shared" si="13"/>
        <v>153583.98360062152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83844.695060372396</v>
      </c>
      <c r="C29" s="91">
        <f t="shared" si="3"/>
        <v>85049.450650888728</v>
      </c>
      <c r="D29" s="91">
        <f t="shared" si="4"/>
        <v>86579.786845938477</v>
      </c>
      <c r="E29" s="91">
        <f t="shared" si="5"/>
        <v>88137.680654971889</v>
      </c>
      <c r="F29" s="91">
        <f t="shared" si="6"/>
        <v>89723.628710896839</v>
      </c>
      <c r="G29" s="91">
        <f t="shared" si="7"/>
        <v>91338.1366038259</v>
      </c>
      <c r="H29" s="91">
        <f t="shared" si="8"/>
        <v>92981.719042679702</v>
      </c>
      <c r="I29" s="91">
        <f t="shared" si="9"/>
        <v>94654.900019631372</v>
      </c>
      <c r="J29" s="91">
        <f t="shared" si="10"/>
        <v>96358.212977995077</v>
      </c>
      <c r="K29" s="91">
        <f t="shared" si="11"/>
        <v>98092.200982484195</v>
      </c>
      <c r="L29" s="91">
        <f t="shared" si="12"/>
        <v>88137.680654971889</v>
      </c>
      <c r="M29" s="90" t="s">
        <v>1061</v>
      </c>
      <c r="N29" s="90">
        <f>1331-$AD$19</f>
        <v>1302</v>
      </c>
      <c r="O29" s="90">
        <v>17</v>
      </c>
      <c r="P29" s="90">
        <f>AI2</f>
        <v>0.54</v>
      </c>
      <c r="Q29" s="90">
        <v>6</v>
      </c>
      <c r="R29" s="90">
        <f t="shared" si="0"/>
        <v>42.688524590163937</v>
      </c>
      <c r="S29" s="91">
        <v>100000</v>
      </c>
      <c r="T29" s="91"/>
      <c r="U29" s="91">
        <f t="shared" si="13"/>
        <v>179847.07553799139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V3" sqref="V3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1348</v>
      </c>
    </row>
    <row r="40" spans="6:7" x14ac:dyDescent="0.25">
      <c r="F40" s="98" t="s">
        <v>1154</v>
      </c>
      <c r="G40" s="98">
        <v>5200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1654780.3575562697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67" activePane="bottomLeft" state="frozen"/>
      <selection pane="bottomLeft" activeCell="B171" sqref="B17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687</v>
      </c>
      <c r="E2" s="11">
        <f>IF(B2&gt;0,1,0)</f>
        <v>1</v>
      </c>
      <c r="F2" s="11">
        <f>B2*(D2-E2)</f>
        <v>66336200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685</v>
      </c>
      <c r="E3" s="11">
        <f t="shared" ref="E3:E66" si="1">IF(B3&gt;0,1,0)</f>
        <v>1</v>
      </c>
      <c r="F3" s="11">
        <f t="shared" ref="F3:F66" si="2">B3*(D3-E3)</f>
        <v>2052000000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682</v>
      </c>
      <c r="E4" s="11">
        <f t="shared" si="1"/>
        <v>0</v>
      </c>
      <c r="F4" s="11">
        <f t="shared" si="2"/>
        <v>-136400000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680</v>
      </c>
      <c r="E5" s="11">
        <f t="shared" si="1"/>
        <v>0</v>
      </c>
      <c r="F5" s="11">
        <f t="shared" si="2"/>
        <v>-68000000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679</v>
      </c>
      <c r="E6" s="11">
        <f t="shared" si="1"/>
        <v>0</v>
      </c>
      <c r="F6" s="11">
        <f t="shared" si="2"/>
        <v>-37345000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678</v>
      </c>
      <c r="E7" s="11">
        <f t="shared" si="1"/>
        <v>0</v>
      </c>
      <c r="F7" s="11">
        <f t="shared" si="2"/>
        <v>-135600000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674</v>
      </c>
      <c r="E8" s="11">
        <f t="shared" si="1"/>
        <v>0</v>
      </c>
      <c r="F8" s="11">
        <f t="shared" si="2"/>
        <v>-134800000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664</v>
      </c>
      <c r="E9" s="11">
        <f t="shared" si="1"/>
        <v>0</v>
      </c>
      <c r="F9" s="11">
        <f t="shared" si="2"/>
        <v>-631132000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663</v>
      </c>
      <c r="E10" s="11">
        <f t="shared" si="1"/>
        <v>1</v>
      </c>
      <c r="F10" s="11">
        <f t="shared" si="2"/>
        <v>1324000000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661</v>
      </c>
      <c r="E11" s="11">
        <f t="shared" si="1"/>
        <v>0</v>
      </c>
      <c r="F11" s="11">
        <f t="shared" si="2"/>
        <v>-703965000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658</v>
      </c>
      <c r="E12" s="11">
        <f t="shared" si="1"/>
        <v>0</v>
      </c>
      <c r="F12" s="11">
        <f t="shared" si="2"/>
        <v>-29610000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657</v>
      </c>
      <c r="E13" s="11">
        <f t="shared" si="1"/>
        <v>0</v>
      </c>
      <c r="F13" s="11">
        <f t="shared" si="2"/>
        <v>-1314459900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653</v>
      </c>
      <c r="E14" s="11">
        <f t="shared" si="1"/>
        <v>0</v>
      </c>
      <c r="F14" s="11">
        <f t="shared" si="2"/>
        <v>-130600000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651</v>
      </c>
      <c r="E15" s="11">
        <f t="shared" si="1"/>
        <v>1</v>
      </c>
      <c r="F15" s="11">
        <f t="shared" si="2"/>
        <v>1300000000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651</v>
      </c>
      <c r="E16" s="11">
        <f t="shared" si="1"/>
        <v>1</v>
      </c>
      <c r="F16" s="11">
        <f t="shared" si="2"/>
        <v>1300000000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651</v>
      </c>
      <c r="E17" s="11">
        <f t="shared" si="1"/>
        <v>1</v>
      </c>
      <c r="F17" s="11">
        <f t="shared" si="2"/>
        <v>780000000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651</v>
      </c>
      <c r="E18" s="11">
        <f t="shared" si="1"/>
        <v>1</v>
      </c>
      <c r="F18" s="11">
        <f t="shared" si="2"/>
        <v>650000000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650</v>
      </c>
      <c r="E19" s="11">
        <f t="shared" si="1"/>
        <v>1</v>
      </c>
      <c r="F19" s="11">
        <f t="shared" si="2"/>
        <v>1947000000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650</v>
      </c>
      <c r="E20" s="11">
        <f t="shared" si="1"/>
        <v>0</v>
      </c>
      <c r="F20" s="11">
        <f t="shared" si="2"/>
        <v>-281255000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650</v>
      </c>
      <c r="E21" s="11">
        <f t="shared" si="1"/>
        <v>0</v>
      </c>
      <c r="F21" s="11">
        <f t="shared" si="2"/>
        <v>-281255000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650</v>
      </c>
      <c r="E22" s="11">
        <f t="shared" si="1"/>
        <v>0</v>
      </c>
      <c r="F22" s="11">
        <f t="shared" si="2"/>
        <v>-281255000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650</v>
      </c>
      <c r="E23" s="11">
        <f t="shared" si="1"/>
        <v>0</v>
      </c>
      <c r="F23" s="11">
        <f t="shared" si="2"/>
        <v>-281255000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650</v>
      </c>
      <c r="E24" s="11">
        <f t="shared" si="1"/>
        <v>0</v>
      </c>
      <c r="F24" s="11">
        <f t="shared" si="2"/>
        <v>-281255000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650</v>
      </c>
      <c r="E25" s="11">
        <f t="shared" si="1"/>
        <v>0</v>
      </c>
      <c r="F25" s="11">
        <f t="shared" si="2"/>
        <v>-130000000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649</v>
      </c>
      <c r="E26" s="11">
        <f t="shared" si="1"/>
        <v>1</v>
      </c>
      <c r="F26" s="11">
        <f t="shared" si="2"/>
        <v>1944000000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647</v>
      </c>
      <c r="E27" s="11">
        <f t="shared" si="1"/>
        <v>0</v>
      </c>
      <c r="F27" s="11">
        <f t="shared" si="2"/>
        <v>-129400000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646</v>
      </c>
      <c r="E28" s="11">
        <f t="shared" si="1"/>
        <v>1</v>
      </c>
      <c r="F28" s="11">
        <f t="shared" si="2"/>
        <v>1290000000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645</v>
      </c>
      <c r="E29" s="11">
        <f t="shared" si="1"/>
        <v>0</v>
      </c>
      <c r="F29" s="11">
        <f t="shared" si="2"/>
        <v>-4515516000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644</v>
      </c>
      <c r="E30" s="11">
        <f t="shared" si="1"/>
        <v>0</v>
      </c>
      <c r="F30" s="11">
        <f t="shared" si="2"/>
        <v>-1932579600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643</v>
      </c>
      <c r="E31" s="11">
        <f t="shared" si="1"/>
        <v>0</v>
      </c>
      <c r="F31" s="11">
        <f t="shared" si="2"/>
        <v>-1090463700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640</v>
      </c>
      <c r="E32" s="11">
        <f t="shared" si="1"/>
        <v>1</v>
      </c>
      <c r="F32" s="11">
        <f t="shared" si="2"/>
        <v>635357700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634</v>
      </c>
      <c r="E33" s="11">
        <f t="shared" si="1"/>
        <v>1</v>
      </c>
      <c r="F33" s="11">
        <f t="shared" si="2"/>
        <v>22212603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633</v>
      </c>
      <c r="E34" s="11">
        <f t="shared" si="1"/>
        <v>0</v>
      </c>
      <c r="F34" s="11">
        <f t="shared" si="2"/>
        <v>-538050000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625</v>
      </c>
      <c r="E35" s="11">
        <f t="shared" si="1"/>
        <v>0</v>
      </c>
      <c r="F35" s="11">
        <f t="shared" si="2"/>
        <v>-119062500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624</v>
      </c>
      <c r="E36" s="11">
        <f t="shared" si="1"/>
        <v>1</v>
      </c>
      <c r="F36" s="11">
        <f t="shared" si="2"/>
        <v>124600000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624</v>
      </c>
      <c r="E37" s="11">
        <f t="shared" si="1"/>
        <v>0</v>
      </c>
      <c r="F37" s="11">
        <f t="shared" si="2"/>
        <v>-124800000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602</v>
      </c>
      <c r="E38" s="11">
        <f t="shared" si="1"/>
        <v>1</v>
      </c>
      <c r="F38" s="11">
        <f t="shared" si="2"/>
        <v>180784406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601</v>
      </c>
      <c r="E39" s="11">
        <f t="shared" si="1"/>
        <v>0</v>
      </c>
      <c r="F39" s="11">
        <f t="shared" si="2"/>
        <v>-57095000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601</v>
      </c>
      <c r="E40" s="11">
        <f t="shared" si="1"/>
        <v>0</v>
      </c>
      <c r="F40" s="11">
        <f t="shared" si="2"/>
        <v>-52949903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596</v>
      </c>
      <c r="E41" s="11">
        <f t="shared" si="1"/>
        <v>0</v>
      </c>
      <c r="F41" s="11">
        <f t="shared" si="2"/>
        <v>-71520000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574</v>
      </c>
      <c r="E42" s="11">
        <f t="shared" si="1"/>
        <v>1</v>
      </c>
      <c r="F42" s="11">
        <f t="shared" si="2"/>
        <v>573116892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570</v>
      </c>
      <c r="E43" s="11">
        <f t="shared" si="1"/>
        <v>0</v>
      </c>
      <c r="F43" s="11">
        <f t="shared" si="2"/>
        <v>-45600000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566</v>
      </c>
      <c r="E44" s="11">
        <f t="shared" si="1"/>
        <v>0</v>
      </c>
      <c r="F44" s="11">
        <f t="shared" si="2"/>
        <v>-119442414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565</v>
      </c>
      <c r="E45" s="11">
        <f t="shared" si="1"/>
        <v>0</v>
      </c>
      <c r="F45" s="11">
        <f t="shared" si="2"/>
        <v>-113000000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564</v>
      </c>
      <c r="E46" s="11">
        <f t="shared" si="1"/>
        <v>0</v>
      </c>
      <c r="F46" s="11">
        <f t="shared" si="2"/>
        <v>-53580000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562</v>
      </c>
      <c r="E47" s="11">
        <f t="shared" si="1"/>
        <v>0</v>
      </c>
      <c r="F47" s="11">
        <f t="shared" si="2"/>
        <v>-25290000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562</v>
      </c>
      <c r="E48" s="11">
        <f t="shared" si="1"/>
        <v>0</v>
      </c>
      <c r="F48" s="11">
        <f t="shared" si="2"/>
        <v>-36069160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559</v>
      </c>
      <c r="E49" s="11">
        <f t="shared" si="1"/>
        <v>0</v>
      </c>
      <c r="F49" s="11">
        <f t="shared" si="2"/>
        <v>-15363556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558</v>
      </c>
      <c r="E50" s="11">
        <f t="shared" si="1"/>
        <v>0</v>
      </c>
      <c r="F50" s="11">
        <f t="shared" si="2"/>
        <v>-78678000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558</v>
      </c>
      <c r="E51" s="11">
        <f t="shared" si="1"/>
        <v>0</v>
      </c>
      <c r="F51" s="11">
        <f t="shared" si="2"/>
        <v>-14924268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557</v>
      </c>
      <c r="E52" s="11">
        <f t="shared" si="1"/>
        <v>0</v>
      </c>
      <c r="F52" s="11">
        <f t="shared" si="2"/>
        <v>-29688100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556</v>
      </c>
      <c r="E53" s="11">
        <f t="shared" si="1"/>
        <v>1</v>
      </c>
      <c r="F53" s="11">
        <f t="shared" si="2"/>
        <v>555000000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550</v>
      </c>
      <c r="E54" s="11">
        <f t="shared" si="1"/>
        <v>0</v>
      </c>
      <c r="F54" s="11">
        <f t="shared" si="2"/>
        <v>-11550000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549</v>
      </c>
      <c r="E55" s="11">
        <f t="shared" si="1"/>
        <v>0</v>
      </c>
      <c r="F55" s="11">
        <f t="shared" si="2"/>
        <v>-538294500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549</v>
      </c>
      <c r="E56" s="11">
        <f t="shared" si="1"/>
        <v>0</v>
      </c>
      <c r="F56" s="11">
        <f t="shared" si="2"/>
        <v>-24705000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536</v>
      </c>
      <c r="E57" s="11">
        <f t="shared" si="1"/>
        <v>1</v>
      </c>
      <c r="F57" s="11">
        <f t="shared" si="2"/>
        <v>1607776115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536</v>
      </c>
      <c r="E58" s="11">
        <f t="shared" si="1"/>
        <v>1</v>
      </c>
      <c r="F58" s="11">
        <f t="shared" si="2"/>
        <v>1070000000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535</v>
      </c>
      <c r="E59" s="11">
        <f t="shared" si="1"/>
        <v>1</v>
      </c>
      <c r="F59" s="11">
        <f t="shared" si="2"/>
        <v>1068000000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535</v>
      </c>
      <c r="E60" s="11">
        <f t="shared" si="1"/>
        <v>0</v>
      </c>
      <c r="F60" s="11">
        <f t="shared" si="2"/>
        <v>-3745802500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511</v>
      </c>
      <c r="E61" s="11">
        <f t="shared" si="1"/>
        <v>1</v>
      </c>
      <c r="F61" s="11">
        <f t="shared" si="2"/>
        <v>1530000000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510</v>
      </c>
      <c r="E62" s="11">
        <f t="shared" si="1"/>
        <v>0</v>
      </c>
      <c r="F62" s="11">
        <f t="shared" si="2"/>
        <v>-13825590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510</v>
      </c>
      <c r="E63" s="11">
        <f t="shared" si="1"/>
        <v>0</v>
      </c>
      <c r="F63" s="11">
        <f t="shared" si="2"/>
        <v>-16824390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510</v>
      </c>
      <c r="E64" s="11">
        <f t="shared" si="1"/>
        <v>1</v>
      </c>
      <c r="F64" s="11">
        <f t="shared" si="2"/>
        <v>1527000000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510</v>
      </c>
      <c r="E65" s="11">
        <f t="shared" si="1"/>
        <v>1</v>
      </c>
      <c r="F65" s="11">
        <f t="shared" si="2"/>
        <v>1511730000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510</v>
      </c>
      <c r="E66" s="11">
        <f t="shared" si="1"/>
        <v>1</v>
      </c>
      <c r="F66" s="11">
        <f t="shared" si="2"/>
        <v>509000000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510</v>
      </c>
      <c r="E67" s="11">
        <f t="shared" ref="E67:E130" si="4">IF(B67&gt;0,1,0)</f>
        <v>1</v>
      </c>
      <c r="F67" s="11">
        <f t="shared" ref="F67:F226" si="5">B67*(D67-E67)</f>
        <v>15270000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509</v>
      </c>
      <c r="E68" s="11">
        <f t="shared" si="4"/>
        <v>1</v>
      </c>
      <c r="F68" s="11">
        <f t="shared" si="5"/>
        <v>15240000000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508</v>
      </c>
      <c r="E69" s="11">
        <f t="shared" si="4"/>
        <v>0</v>
      </c>
      <c r="F69" s="11">
        <f t="shared" si="5"/>
        <v>-101600000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508</v>
      </c>
      <c r="E70" s="11">
        <f t="shared" si="4"/>
        <v>1</v>
      </c>
      <c r="F70" s="11">
        <f t="shared" si="5"/>
        <v>709800000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508</v>
      </c>
      <c r="E71" s="11">
        <f t="shared" si="4"/>
        <v>1</v>
      </c>
      <c r="F71" s="11">
        <f t="shared" si="5"/>
        <v>1318200000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508</v>
      </c>
      <c r="E72" s="11">
        <f t="shared" si="4"/>
        <v>0</v>
      </c>
      <c r="F72" s="11">
        <f t="shared" si="5"/>
        <v>-508000000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506</v>
      </c>
      <c r="E73" s="11">
        <f t="shared" si="4"/>
        <v>1</v>
      </c>
      <c r="F73" s="11">
        <f t="shared" si="5"/>
        <v>7575000000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501</v>
      </c>
      <c r="E74" s="11">
        <f t="shared" si="4"/>
        <v>0</v>
      </c>
      <c r="F74" s="11">
        <f t="shared" si="5"/>
        <v>-7517104200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499</v>
      </c>
      <c r="E75" s="11">
        <f t="shared" si="4"/>
        <v>0</v>
      </c>
      <c r="F75" s="11">
        <f t="shared" si="5"/>
        <v>-1497000000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499</v>
      </c>
      <c r="E76" s="11">
        <f t="shared" si="4"/>
        <v>0</v>
      </c>
      <c r="F76" s="11">
        <f t="shared" si="5"/>
        <v>-99800000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499</v>
      </c>
      <c r="E77" s="11">
        <f t="shared" si="4"/>
        <v>0</v>
      </c>
      <c r="F77" s="11">
        <f t="shared" si="5"/>
        <v>-5989497000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495</v>
      </c>
      <c r="E78" s="11">
        <f t="shared" si="4"/>
        <v>0</v>
      </c>
      <c r="F78" s="11">
        <f t="shared" si="5"/>
        <v>-1485445500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490</v>
      </c>
      <c r="E79" s="11">
        <f t="shared" si="4"/>
        <v>1</v>
      </c>
      <c r="F79" s="11">
        <f t="shared" si="5"/>
        <v>11247000000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485</v>
      </c>
      <c r="E80" s="11">
        <f t="shared" si="4"/>
        <v>0</v>
      </c>
      <c r="F80" s="11">
        <f t="shared" si="5"/>
        <v>-291242500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485</v>
      </c>
      <c r="E81" s="11">
        <f t="shared" si="4"/>
        <v>0</v>
      </c>
      <c r="F81" s="11">
        <f t="shared" si="5"/>
        <v>-97000000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484</v>
      </c>
      <c r="E82" s="11">
        <f t="shared" si="4"/>
        <v>1</v>
      </c>
      <c r="F82" s="11">
        <f t="shared" si="5"/>
        <v>136795743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484</v>
      </c>
      <c r="E83" s="11">
        <f t="shared" si="4"/>
        <v>0</v>
      </c>
      <c r="F83" s="11">
        <f t="shared" si="5"/>
        <v>-96800000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482</v>
      </c>
      <c r="E84" s="11">
        <f t="shared" si="4"/>
        <v>1</v>
      </c>
      <c r="F84" s="11">
        <f t="shared" si="5"/>
        <v>962000000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479</v>
      </c>
      <c r="E85" s="11">
        <f t="shared" si="4"/>
        <v>0</v>
      </c>
      <c r="F85" s="11">
        <f t="shared" si="5"/>
        <v>-95800000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473</v>
      </c>
      <c r="E86" s="11">
        <f t="shared" si="4"/>
        <v>0</v>
      </c>
      <c r="F86" s="11">
        <f t="shared" si="5"/>
        <v>-94600000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471</v>
      </c>
      <c r="E87" s="11">
        <f t="shared" si="4"/>
        <v>0</v>
      </c>
      <c r="F87" s="11">
        <f t="shared" si="5"/>
        <v>-624075000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456</v>
      </c>
      <c r="E88" s="11">
        <f t="shared" si="4"/>
        <v>0</v>
      </c>
      <c r="F88" s="11">
        <f t="shared" si="5"/>
        <v>-228000000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456</v>
      </c>
      <c r="E89" s="11">
        <f t="shared" si="4"/>
        <v>0</v>
      </c>
      <c r="F89" s="11">
        <f t="shared" si="5"/>
        <v>-54720000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454</v>
      </c>
      <c r="E90" s="11">
        <f t="shared" si="4"/>
        <v>1</v>
      </c>
      <c r="F90" s="11">
        <f t="shared" si="5"/>
        <v>193976865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451</v>
      </c>
      <c r="E91" s="11">
        <f t="shared" si="4"/>
        <v>0</v>
      </c>
      <c r="F91" s="11">
        <f t="shared" si="5"/>
        <v>-1353902000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449</v>
      </c>
      <c r="E92" s="11">
        <f t="shared" si="4"/>
        <v>0</v>
      </c>
      <c r="F92" s="11">
        <f t="shared" si="5"/>
        <v>-92045000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449</v>
      </c>
      <c r="E93" s="11">
        <f t="shared" si="4"/>
        <v>0</v>
      </c>
      <c r="F93" s="11">
        <f t="shared" si="5"/>
        <v>-157374500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438</v>
      </c>
      <c r="E94" s="11">
        <f t="shared" si="4"/>
        <v>1</v>
      </c>
      <c r="F94" s="11">
        <f t="shared" si="5"/>
        <v>437000000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433</v>
      </c>
      <c r="E95" s="11">
        <f t="shared" si="4"/>
        <v>1</v>
      </c>
      <c r="F95" s="11">
        <f t="shared" si="5"/>
        <v>3888000000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431</v>
      </c>
      <c r="E96" s="11">
        <f t="shared" si="4"/>
        <v>0</v>
      </c>
      <c r="F96" s="11">
        <f t="shared" si="5"/>
        <v>-11206000000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431</v>
      </c>
      <c r="E97" s="11">
        <f t="shared" si="4"/>
        <v>0</v>
      </c>
      <c r="F97" s="11">
        <f t="shared" si="5"/>
        <v>-11206000000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431</v>
      </c>
      <c r="E98" s="11">
        <f t="shared" si="4"/>
        <v>1</v>
      </c>
      <c r="F98" s="11">
        <f t="shared" si="5"/>
        <v>11180000000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431</v>
      </c>
      <c r="E99" s="11">
        <f t="shared" si="4"/>
        <v>0</v>
      </c>
      <c r="F99" s="11">
        <f t="shared" si="5"/>
        <v>-86200000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429</v>
      </c>
      <c r="E100" s="11">
        <f t="shared" si="4"/>
        <v>1</v>
      </c>
      <c r="F100" s="11">
        <f t="shared" si="5"/>
        <v>12497600000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424</v>
      </c>
      <c r="E101" s="11">
        <f t="shared" si="4"/>
        <v>1</v>
      </c>
      <c r="F101" s="11">
        <f t="shared" si="5"/>
        <v>169176735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423</v>
      </c>
      <c r="E102" s="11">
        <f t="shared" si="4"/>
        <v>1</v>
      </c>
      <c r="F102" s="11">
        <f t="shared" si="5"/>
        <v>844000000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422</v>
      </c>
      <c r="E103" s="11">
        <f t="shared" si="4"/>
        <v>1</v>
      </c>
      <c r="F103" s="11">
        <f t="shared" si="5"/>
        <v>3157500000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422</v>
      </c>
      <c r="E104" s="11">
        <f t="shared" si="4"/>
        <v>0</v>
      </c>
      <c r="F104" s="11">
        <f t="shared" si="5"/>
        <v>-27852000000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422</v>
      </c>
      <c r="E105" s="11">
        <f t="shared" si="4"/>
        <v>0</v>
      </c>
      <c r="F105" s="11">
        <f t="shared" si="5"/>
        <v>-61190000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420</v>
      </c>
      <c r="E106" s="11">
        <f t="shared" si="4"/>
        <v>1</v>
      </c>
      <c r="F106" s="11">
        <f t="shared" si="5"/>
        <v>2514000000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418</v>
      </c>
      <c r="E107" s="11">
        <f t="shared" si="4"/>
        <v>0</v>
      </c>
      <c r="F107" s="11">
        <f t="shared" si="5"/>
        <v>-2510466200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415</v>
      </c>
      <c r="E108" s="11">
        <f t="shared" si="4"/>
        <v>1</v>
      </c>
      <c r="F108" s="11">
        <f t="shared" si="5"/>
        <v>2484000000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403</v>
      </c>
      <c r="E109" s="11">
        <f t="shared" si="4"/>
        <v>0</v>
      </c>
      <c r="F109" s="11">
        <f t="shared" si="5"/>
        <v>-48360000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402</v>
      </c>
      <c r="E110" s="11">
        <f t="shared" si="4"/>
        <v>1</v>
      </c>
      <c r="F110" s="11">
        <f t="shared" si="5"/>
        <v>1604000000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401</v>
      </c>
      <c r="E111" s="11">
        <f t="shared" si="4"/>
        <v>1</v>
      </c>
      <c r="F111" s="11">
        <f t="shared" si="5"/>
        <v>1120000000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397</v>
      </c>
      <c r="E112" s="11">
        <f t="shared" si="4"/>
        <v>0</v>
      </c>
      <c r="F112" s="11">
        <f t="shared" si="5"/>
        <v>-79400000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396</v>
      </c>
      <c r="E113" s="11">
        <f t="shared" si="4"/>
        <v>1</v>
      </c>
      <c r="F113" s="11">
        <f t="shared" si="5"/>
        <v>28562450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379</v>
      </c>
      <c r="E114" s="11">
        <f t="shared" si="4"/>
        <v>0</v>
      </c>
      <c r="F114" s="11">
        <f t="shared" si="5"/>
        <v>-75800000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378</v>
      </c>
      <c r="E115" s="11">
        <f t="shared" si="4"/>
        <v>0</v>
      </c>
      <c r="F115" s="23">
        <f t="shared" si="5"/>
        <v>-4158000000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378</v>
      </c>
      <c r="E116" s="11">
        <f t="shared" si="4"/>
        <v>0</v>
      </c>
      <c r="F116" s="11">
        <f t="shared" si="5"/>
        <v>-75600000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376</v>
      </c>
      <c r="E117" s="11">
        <f t="shared" si="4"/>
        <v>0</v>
      </c>
      <c r="F117" s="11">
        <f t="shared" si="5"/>
        <v>-169388000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376</v>
      </c>
      <c r="E118" s="11">
        <f t="shared" si="4"/>
        <v>0</v>
      </c>
      <c r="F118" s="11">
        <f t="shared" si="5"/>
        <v>-75200000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370</v>
      </c>
      <c r="E119" s="11">
        <f t="shared" si="4"/>
        <v>0</v>
      </c>
      <c r="F119" s="11">
        <f t="shared" si="5"/>
        <v>-57183500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370</v>
      </c>
      <c r="E120" s="11">
        <f t="shared" si="4"/>
        <v>0</v>
      </c>
      <c r="F120" s="11">
        <f t="shared" si="5"/>
        <v>-118400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369</v>
      </c>
      <c r="E121" s="11">
        <f t="shared" si="4"/>
        <v>0</v>
      </c>
      <c r="F121" s="11">
        <f t="shared" si="5"/>
        <v>-159408000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363</v>
      </c>
      <c r="E122" s="11">
        <f t="shared" si="4"/>
        <v>1</v>
      </c>
      <c r="F122" s="11">
        <f t="shared" si="5"/>
        <v>26803566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342</v>
      </c>
      <c r="E123" s="11">
        <f t="shared" si="4"/>
        <v>0</v>
      </c>
      <c r="F123" s="11">
        <f t="shared" si="5"/>
        <v>-17784000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301</v>
      </c>
      <c r="E124" s="11">
        <f t="shared" si="4"/>
        <v>1</v>
      </c>
      <c r="F124" s="11">
        <f t="shared" si="5"/>
        <v>356100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300</v>
      </c>
      <c r="E125" s="11">
        <f t="shared" si="4"/>
        <v>1</v>
      </c>
      <c r="F125" s="11">
        <f t="shared" si="5"/>
        <v>717600000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298</v>
      </c>
      <c r="E126" s="11">
        <f t="shared" si="4"/>
        <v>1</v>
      </c>
      <c r="F126" s="11">
        <f t="shared" si="5"/>
        <v>398811600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298</v>
      </c>
      <c r="E127" s="11">
        <f t="shared" si="4"/>
        <v>1</v>
      </c>
      <c r="F127" s="11">
        <f t="shared" si="5"/>
        <v>398811600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286</v>
      </c>
      <c r="E128" s="11">
        <f t="shared" si="4"/>
        <v>0</v>
      </c>
      <c r="F128" s="11">
        <f t="shared" si="5"/>
        <v>-57200000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284</v>
      </c>
      <c r="E129" s="11">
        <f t="shared" si="4"/>
        <v>0</v>
      </c>
      <c r="F129" s="11">
        <f>B129*(D129-E129)</f>
        <v>-4435512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283</v>
      </c>
      <c r="E130" s="11">
        <f t="shared" si="4"/>
        <v>0</v>
      </c>
      <c r="F130" s="11">
        <f t="shared" si="5"/>
        <v>-56600000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282</v>
      </c>
      <c r="E131" s="11">
        <f t="shared" ref="E131:E227" si="7">IF(B131&gt;0,1,0)</f>
        <v>0</v>
      </c>
      <c r="F131" s="11">
        <f t="shared" si="5"/>
        <v>-56400000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281</v>
      </c>
      <c r="E132" s="11">
        <f t="shared" si="7"/>
        <v>0</v>
      </c>
      <c r="F132" s="11">
        <f t="shared" si="5"/>
        <v>-109590000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281</v>
      </c>
      <c r="E133" s="11">
        <f t="shared" si="7"/>
        <v>0</v>
      </c>
      <c r="F133" s="11">
        <f t="shared" si="5"/>
        <v>-6884500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280</v>
      </c>
      <c r="E134" s="11">
        <f t="shared" si="7"/>
        <v>0</v>
      </c>
      <c r="F134" s="11">
        <f t="shared" si="5"/>
        <v>-26600000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276</v>
      </c>
      <c r="E135" s="11">
        <f t="shared" si="7"/>
        <v>0</v>
      </c>
      <c r="F135" s="11">
        <f t="shared" si="5"/>
        <v>-55200000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274</v>
      </c>
      <c r="E136" s="11">
        <f t="shared" si="7"/>
        <v>1</v>
      </c>
      <c r="F136" s="11">
        <f t="shared" si="5"/>
        <v>13650000000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273</v>
      </c>
      <c r="E137" s="11">
        <f t="shared" si="7"/>
        <v>1</v>
      </c>
      <c r="F137" s="11">
        <f t="shared" si="5"/>
        <v>3264000000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271</v>
      </c>
      <c r="E138" s="11">
        <f t="shared" si="7"/>
        <v>1</v>
      </c>
      <c r="F138" s="11">
        <f t="shared" si="5"/>
        <v>540000000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270</v>
      </c>
      <c r="E139" s="11">
        <f t="shared" si="7"/>
        <v>1</v>
      </c>
      <c r="F139" s="11">
        <f t="shared" si="5"/>
        <v>23547722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257</v>
      </c>
      <c r="E140" s="11">
        <f t="shared" si="7"/>
        <v>0</v>
      </c>
      <c r="F140" s="11">
        <f t="shared" si="5"/>
        <v>-771231300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256</v>
      </c>
      <c r="E141" s="11">
        <f t="shared" si="7"/>
        <v>0</v>
      </c>
      <c r="F141" s="11">
        <f t="shared" si="5"/>
        <v>-768230400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239</v>
      </c>
      <c r="E142" s="11">
        <f t="shared" si="7"/>
        <v>1</v>
      </c>
      <c r="F142" s="11">
        <f t="shared" si="5"/>
        <v>143281950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239</v>
      </c>
      <c r="E143" s="11">
        <f t="shared" si="7"/>
        <v>0</v>
      </c>
      <c r="F143" s="11">
        <f t="shared" si="5"/>
        <v>-10994000000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208</v>
      </c>
      <c r="E144" s="11">
        <f t="shared" si="7"/>
        <v>1</v>
      </c>
      <c r="F144" s="11">
        <f t="shared" si="5"/>
        <v>31900149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207</v>
      </c>
      <c r="E145" s="11">
        <f t="shared" si="7"/>
        <v>1</v>
      </c>
      <c r="F145" s="11">
        <f t="shared" si="5"/>
        <v>618000000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204</v>
      </c>
      <c r="E146" s="11">
        <f t="shared" si="7"/>
        <v>0</v>
      </c>
      <c r="F146" s="11">
        <f t="shared" si="5"/>
        <v>-40800000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199</v>
      </c>
      <c r="E147" s="11">
        <f t="shared" si="7"/>
        <v>0</v>
      </c>
      <c r="F147" s="11">
        <f t="shared" si="5"/>
        <v>-39800000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198</v>
      </c>
      <c r="E148" s="11">
        <f t="shared" si="7"/>
        <v>0</v>
      </c>
      <c r="F148" s="11">
        <f t="shared" si="5"/>
        <v>-39600000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194</v>
      </c>
      <c r="E149" s="11">
        <f t="shared" si="7"/>
        <v>0</v>
      </c>
      <c r="F149" s="11">
        <f t="shared" si="5"/>
        <v>-38800000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193</v>
      </c>
      <c r="E150" s="11">
        <f t="shared" si="7"/>
        <v>1</v>
      </c>
      <c r="F150" s="11">
        <f t="shared" si="5"/>
        <v>4622092800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191</v>
      </c>
      <c r="E151" s="11">
        <f t="shared" si="7"/>
        <v>0</v>
      </c>
      <c r="F151" s="11">
        <f t="shared" si="5"/>
        <v>-38200000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185</v>
      </c>
      <c r="E152" s="11">
        <f t="shared" si="7"/>
        <v>0</v>
      </c>
      <c r="F152" s="11">
        <f t="shared" si="5"/>
        <v>-5550000000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184</v>
      </c>
      <c r="E153" s="11">
        <f t="shared" si="7"/>
        <v>0</v>
      </c>
      <c r="F153" s="11">
        <f t="shared" si="5"/>
        <v>-9568000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184</v>
      </c>
      <c r="E154" s="11">
        <f t="shared" si="7"/>
        <v>0</v>
      </c>
      <c r="F154" s="11">
        <f t="shared" si="5"/>
        <v>-25024000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179</v>
      </c>
      <c r="E155" s="11">
        <f t="shared" si="7"/>
        <v>1</v>
      </c>
      <c r="F155" s="11">
        <f t="shared" si="5"/>
        <v>534000000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178</v>
      </c>
      <c r="E156" s="11">
        <f t="shared" si="7"/>
        <v>1</v>
      </c>
      <c r="F156" s="11">
        <f t="shared" si="5"/>
        <v>33471231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178</v>
      </c>
      <c r="E157" s="11">
        <f t="shared" si="7"/>
        <v>1</v>
      </c>
      <c r="F157" s="11">
        <f t="shared" si="5"/>
        <v>4288302900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170</v>
      </c>
      <c r="E158" s="11">
        <f t="shared" si="7"/>
        <v>1</v>
      </c>
      <c r="F158" s="11">
        <f t="shared" si="5"/>
        <v>4105888800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170</v>
      </c>
      <c r="E159" s="11">
        <f t="shared" si="7"/>
        <v>0</v>
      </c>
      <c r="F159" s="11">
        <f t="shared" si="5"/>
        <v>-34170000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165</v>
      </c>
      <c r="E160" s="11">
        <f t="shared" si="7"/>
        <v>0</v>
      </c>
      <c r="F160" s="11">
        <f t="shared" si="5"/>
        <v>-33000000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162</v>
      </c>
      <c r="E161" s="11">
        <f t="shared" si="7"/>
        <v>0</v>
      </c>
      <c r="F161" s="11">
        <f t="shared" si="5"/>
        <v>-32400000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158</v>
      </c>
      <c r="E162" s="11">
        <f t="shared" si="7"/>
        <v>0</v>
      </c>
      <c r="F162" s="11">
        <f t="shared" si="5"/>
        <v>-31600000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155</v>
      </c>
      <c r="E163" s="11">
        <f t="shared" si="7"/>
        <v>0</v>
      </c>
      <c r="F163" s="11">
        <f t="shared" si="5"/>
        <v>-31000000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148</v>
      </c>
      <c r="E164" s="11">
        <f t="shared" si="7"/>
        <v>1</v>
      </c>
      <c r="F164" s="11">
        <f t="shared" si="5"/>
        <v>67278078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145</v>
      </c>
      <c r="E165" s="11">
        <f t="shared" si="7"/>
        <v>1</v>
      </c>
      <c r="F165" s="11">
        <f t="shared" si="5"/>
        <v>388800000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145</v>
      </c>
      <c r="E166" s="11">
        <f t="shared" si="7"/>
        <v>1</v>
      </c>
      <c r="F166" s="11">
        <f t="shared" si="5"/>
        <v>360000000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138</v>
      </c>
      <c r="E167" s="11">
        <f t="shared" si="7"/>
        <v>0</v>
      </c>
      <c r="F167" s="11">
        <f t="shared" si="5"/>
        <v>-27600000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136</v>
      </c>
      <c r="E168" s="11">
        <f t="shared" si="7"/>
        <v>0</v>
      </c>
      <c r="F168" s="11">
        <f t="shared" si="5"/>
        <v>-27200000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130</v>
      </c>
      <c r="E169" s="11">
        <f t="shared" si="7"/>
        <v>0</v>
      </c>
      <c r="F169" s="11">
        <f t="shared" si="5"/>
        <v>-26000000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127</v>
      </c>
      <c r="E170" s="11">
        <f t="shared" si="7"/>
        <v>0</v>
      </c>
      <c r="F170" s="11">
        <f t="shared" si="5"/>
        <v>-25400000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127</v>
      </c>
      <c r="E171" s="11">
        <f t="shared" si="7"/>
        <v>1</v>
      </c>
      <c r="F171" s="11">
        <f t="shared" si="5"/>
        <v>378000000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124</v>
      </c>
      <c r="E172" s="11">
        <f t="shared" si="7"/>
        <v>0</v>
      </c>
      <c r="F172" s="11">
        <f t="shared" si="5"/>
        <v>-24800000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123</v>
      </c>
      <c r="E173" s="11">
        <f t="shared" si="7"/>
        <v>1</v>
      </c>
      <c r="F173" s="11">
        <f t="shared" si="5"/>
        <v>366000000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122</v>
      </c>
      <c r="E174" s="11">
        <f t="shared" si="7"/>
        <v>1</v>
      </c>
      <c r="F174" s="11">
        <f t="shared" si="5"/>
        <v>242000000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121</v>
      </c>
      <c r="E175" s="11">
        <f t="shared" si="7"/>
        <v>1</v>
      </c>
      <c r="F175" s="11">
        <f t="shared" si="5"/>
        <v>156000000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119</v>
      </c>
      <c r="E176" s="11">
        <f t="shared" si="7"/>
        <v>0</v>
      </c>
      <c r="F176" s="11">
        <f t="shared" si="5"/>
        <v>-23800000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119</v>
      </c>
      <c r="E177" s="11">
        <f t="shared" si="7"/>
        <v>1</v>
      </c>
      <c r="F177" s="11">
        <f t="shared" si="5"/>
        <v>200600000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118</v>
      </c>
      <c r="E178" s="11">
        <f t="shared" si="7"/>
        <v>0</v>
      </c>
      <c r="F178" s="11">
        <f t="shared" si="5"/>
        <v>-23600000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117</v>
      </c>
      <c r="E179" s="11">
        <f t="shared" si="7"/>
        <v>1</v>
      </c>
      <c r="F179" s="11">
        <f t="shared" si="5"/>
        <v>66293072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114</v>
      </c>
      <c r="E180" s="11">
        <f t="shared" si="7"/>
        <v>1</v>
      </c>
      <c r="F180" s="11">
        <f t="shared" si="5"/>
        <v>339000000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107</v>
      </c>
      <c r="E181" s="11">
        <f t="shared" si="7"/>
        <v>1</v>
      </c>
      <c r="F181" s="11">
        <f t="shared" si="5"/>
        <v>212000000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99</v>
      </c>
      <c r="E182" s="11">
        <f t="shared" si="7"/>
        <v>0</v>
      </c>
      <c r="F182" s="11">
        <f t="shared" si="5"/>
        <v>-217869300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87</v>
      </c>
      <c r="E183" s="11">
        <f t="shared" si="7"/>
        <v>1</v>
      </c>
      <c r="F183" s="11">
        <f t="shared" si="5"/>
        <v>58057482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57</v>
      </c>
      <c r="E184" s="11">
        <f t="shared" si="7"/>
        <v>1</v>
      </c>
      <c r="F184" s="11">
        <f t="shared" si="5"/>
        <v>37912000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42</v>
      </c>
      <c r="E185" s="11">
        <f t="shared" si="7"/>
        <v>0</v>
      </c>
      <c r="F185" s="11">
        <f t="shared" si="5"/>
        <v>-420000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37</v>
      </c>
      <c r="E186" s="11">
        <f t="shared" si="7"/>
        <v>0</v>
      </c>
      <c r="F186" s="11">
        <f t="shared" si="5"/>
        <v>-2978500000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32</v>
      </c>
      <c r="E187" s="11">
        <f t="shared" si="7"/>
        <v>0</v>
      </c>
      <c r="F187" s="11">
        <f t="shared" si="5"/>
        <v>-35200000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32</v>
      </c>
      <c r="E188" s="11">
        <f t="shared" si="7"/>
        <v>1</v>
      </c>
      <c r="F188" s="11">
        <f t="shared" si="5"/>
        <v>93000000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31</v>
      </c>
      <c r="E189" s="11">
        <f t="shared" si="7"/>
        <v>1</v>
      </c>
      <c r="F189" s="11">
        <f t="shared" si="5"/>
        <v>60000000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31</v>
      </c>
      <c r="E190" s="11">
        <f t="shared" si="7"/>
        <v>0</v>
      </c>
      <c r="F190" s="11">
        <f t="shared" si="5"/>
        <v>-155000000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30</v>
      </c>
      <c r="E191" s="11">
        <f t="shared" si="7"/>
        <v>1</v>
      </c>
      <c r="F191" s="11">
        <f t="shared" si="5"/>
        <v>14014192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26</v>
      </c>
      <c r="E192" s="11">
        <f t="shared" si="7"/>
        <v>0</v>
      </c>
      <c r="F192" s="11">
        <f t="shared" si="5"/>
        <v>-2997800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22</v>
      </c>
      <c r="E193" s="11">
        <f t="shared" si="7"/>
        <v>1</v>
      </c>
      <c r="F193" s="11">
        <f t="shared" si="5"/>
        <v>1890000000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15</v>
      </c>
      <c r="E194" s="11">
        <f t="shared" si="7"/>
        <v>1</v>
      </c>
      <c r="F194" s="11">
        <f t="shared" si="5"/>
        <v>728000000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15</v>
      </c>
      <c r="E195" s="11">
        <f t="shared" si="7"/>
        <v>1</v>
      </c>
      <c r="F195" s="105">
        <f t="shared" si="5"/>
        <v>350000000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15</v>
      </c>
      <c r="E196" s="105">
        <f t="shared" si="7"/>
        <v>0</v>
      </c>
      <c r="F196" s="105">
        <f t="shared" si="5"/>
        <v>-2520000000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8</v>
      </c>
      <c r="E197" s="105">
        <f t="shared" si="7"/>
        <v>0</v>
      </c>
      <c r="F197" s="105">
        <f t="shared" si="5"/>
        <v>-1324000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4</v>
      </c>
      <c r="E198" s="105">
        <f t="shared" si="7"/>
        <v>0</v>
      </c>
      <c r="F198" s="105">
        <f t="shared" si="5"/>
        <v>-800000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4</v>
      </c>
      <c r="E199" s="105">
        <f t="shared" si="7"/>
        <v>0</v>
      </c>
      <c r="F199" s="105">
        <f t="shared" si="5"/>
        <v>-187924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1</v>
      </c>
      <c r="D200" s="105">
        <f t="shared" si="8"/>
        <v>1</v>
      </c>
      <c r="E200" s="105">
        <f t="shared" si="7"/>
        <v>0</v>
      </c>
      <c r="F200" s="105">
        <f t="shared" si="5"/>
        <v>-4650</v>
      </c>
      <c r="G200" s="105" t="s">
        <v>875</v>
      </c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567216</v>
      </c>
      <c r="C228" s="11"/>
      <c r="D228" s="11"/>
      <c r="E228" s="11"/>
      <c r="F228" s="29">
        <f>SUM(F2:F226)</f>
        <v>18758216684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27304536.657933041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77" activePane="bottomLeft" state="frozen"/>
      <selection pane="bottomLeft" activeCell="B94" sqref="B9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505</v>
      </c>
      <c r="F2" s="11">
        <f>IF(B2&gt;0,1,0)</f>
        <v>1</v>
      </c>
      <c r="G2" s="11">
        <f>B2*(E2-F2)</f>
        <v>25200000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501</v>
      </c>
      <c r="F3" s="11">
        <f t="shared" ref="F3:F38" si="1">IF(B3&gt;0,1,0)</f>
        <v>1</v>
      </c>
      <c r="G3" s="11">
        <f t="shared" ref="G3:G23" si="2">B3*(E3-F3)</f>
        <v>1500000000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500</v>
      </c>
      <c r="F4" s="11">
        <f t="shared" si="1"/>
        <v>1</v>
      </c>
      <c r="G4" s="11">
        <f t="shared" si="2"/>
        <v>1497000000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500</v>
      </c>
      <c r="F5" s="11">
        <f t="shared" si="1"/>
        <v>1</v>
      </c>
      <c r="G5" s="11">
        <f t="shared" si="2"/>
        <v>7485000000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499</v>
      </c>
      <c r="F6" s="11">
        <f t="shared" si="1"/>
        <v>1</v>
      </c>
      <c r="G6" s="11">
        <f t="shared" si="2"/>
        <v>1494000000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498</v>
      </c>
      <c r="F7" s="11">
        <f t="shared" si="1"/>
        <v>0</v>
      </c>
      <c r="G7" s="11">
        <f t="shared" si="2"/>
        <v>-1494000000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498</v>
      </c>
      <c r="F8" s="11">
        <f t="shared" si="1"/>
        <v>0</v>
      </c>
      <c r="G8" s="11">
        <f t="shared" si="2"/>
        <v>-99600000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498</v>
      </c>
      <c r="F9" s="11">
        <f t="shared" si="1"/>
        <v>1</v>
      </c>
      <c r="G9" s="11">
        <f>B9*(E9-F9)</f>
        <v>1491000000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497</v>
      </c>
      <c r="F10" s="11">
        <f t="shared" si="1"/>
        <v>1</v>
      </c>
      <c r="G10" s="11">
        <f t="shared" si="2"/>
        <v>1488000000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497</v>
      </c>
      <c r="F11" s="11">
        <f t="shared" si="1"/>
        <v>1</v>
      </c>
      <c r="G11" s="11">
        <f t="shared" si="2"/>
        <v>12400000000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494</v>
      </c>
      <c r="F12" s="11">
        <f t="shared" si="1"/>
        <v>1</v>
      </c>
      <c r="G12" s="11">
        <f t="shared" si="2"/>
        <v>492176690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494</v>
      </c>
      <c r="F13" s="11">
        <f t="shared" si="1"/>
        <v>1</v>
      </c>
      <c r="G13" s="11">
        <f t="shared" si="2"/>
        <v>1479000000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494</v>
      </c>
      <c r="F14" s="11">
        <f t="shared" si="1"/>
        <v>1</v>
      </c>
      <c r="G14" s="11">
        <f t="shared" si="2"/>
        <v>587210328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482</v>
      </c>
      <c r="F15" s="11">
        <f t="shared" si="1"/>
        <v>1</v>
      </c>
      <c r="G15" s="11">
        <f t="shared" si="2"/>
        <v>962000000</v>
      </c>
      <c r="M15" s="134"/>
      <c r="N15" s="134"/>
      <c r="O15" s="136"/>
      <c r="P15" s="137"/>
      <c r="Q15" s="137"/>
      <c r="R15" s="135"/>
      <c r="S15" s="13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470</v>
      </c>
      <c r="F16" s="11">
        <f t="shared" si="1"/>
        <v>1</v>
      </c>
      <c r="G16" s="11">
        <f t="shared" si="2"/>
        <v>1407000000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469</v>
      </c>
      <c r="F17" s="11">
        <f t="shared" si="1"/>
        <v>1</v>
      </c>
      <c r="G17" s="11">
        <f t="shared" si="2"/>
        <v>1404000000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468</v>
      </c>
      <c r="F18" s="11">
        <f t="shared" si="1"/>
        <v>1</v>
      </c>
      <c r="G18" s="11">
        <f t="shared" si="2"/>
        <v>887300000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453</v>
      </c>
      <c r="F19" s="11">
        <f t="shared" si="1"/>
        <v>1</v>
      </c>
      <c r="G19" s="11">
        <f t="shared" si="2"/>
        <v>363639876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452</v>
      </c>
      <c r="F20" s="11">
        <f t="shared" si="1"/>
        <v>1</v>
      </c>
      <c r="G20" s="11">
        <f t="shared" si="2"/>
        <v>1353000000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446</v>
      </c>
      <c r="F21" s="11">
        <f t="shared" si="1"/>
        <v>1</v>
      </c>
      <c r="G21" s="11">
        <f t="shared" si="2"/>
        <v>222500000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432</v>
      </c>
      <c r="F22" s="11">
        <f t="shared" si="1"/>
        <v>0</v>
      </c>
      <c r="G22" s="11">
        <f t="shared" si="2"/>
        <v>-1296000000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424</v>
      </c>
      <c r="F23" s="11">
        <f t="shared" si="1"/>
        <v>1</v>
      </c>
      <c r="G23" s="11">
        <f t="shared" si="2"/>
        <v>1269000000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424</v>
      </c>
      <c r="F24" s="11">
        <f t="shared" si="1"/>
        <v>1</v>
      </c>
      <c r="G24" s="11">
        <f>B24*(E24-F24)</f>
        <v>266846589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422</v>
      </c>
      <c r="F25" s="11">
        <f t="shared" si="1"/>
        <v>0</v>
      </c>
      <c r="G25" s="11">
        <f t="shared" ref="G25:G30" si="3">B25*(E25-F25)</f>
        <v>-1350779800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420</v>
      </c>
      <c r="F26" s="11">
        <f t="shared" si="1"/>
        <v>0</v>
      </c>
      <c r="G26" s="11">
        <f t="shared" si="3"/>
        <v>-1260378000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418</v>
      </c>
      <c r="F27" s="11">
        <f t="shared" si="1"/>
        <v>1</v>
      </c>
      <c r="G27" s="11">
        <f t="shared" si="3"/>
        <v>417000000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418</v>
      </c>
      <c r="F28" s="11">
        <f t="shared" si="1"/>
        <v>1</v>
      </c>
      <c r="G28" s="11">
        <f t="shared" si="3"/>
        <v>2502000000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418</v>
      </c>
      <c r="F29" s="11">
        <f t="shared" si="1"/>
        <v>1</v>
      </c>
      <c r="G29" s="11">
        <f t="shared" si="3"/>
        <v>2418600000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418</v>
      </c>
      <c r="F30" s="11">
        <f t="shared" si="1"/>
        <v>0</v>
      </c>
      <c r="G30" s="11">
        <f t="shared" si="3"/>
        <v>-2090000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417</v>
      </c>
      <c r="F31" s="11">
        <f t="shared" si="1"/>
        <v>0</v>
      </c>
      <c r="G31" s="11">
        <f>B31*(E31-F31)</f>
        <v>-10842000000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415</v>
      </c>
      <c r="F32" s="11">
        <f t="shared" si="1"/>
        <v>0</v>
      </c>
      <c r="G32" s="11">
        <f>B32*(E32-F32)</f>
        <v>-10873000000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396</v>
      </c>
      <c r="F33" s="11">
        <f t="shared" si="1"/>
        <v>1</v>
      </c>
      <c r="G33" s="11">
        <f>B33*(E33-F33)</f>
        <v>129166975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378</v>
      </c>
      <c r="F34" s="11">
        <f t="shared" si="1"/>
        <v>1</v>
      </c>
      <c r="G34" s="11">
        <f t="shared" ref="G34:G126" si="4">B34*(E34-F34)</f>
        <v>10706800000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378</v>
      </c>
      <c r="F35" s="11">
        <f t="shared" si="1"/>
        <v>1</v>
      </c>
      <c r="G35" s="12">
        <f t="shared" si="4"/>
        <v>4147000000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363</v>
      </c>
      <c r="F36" s="11">
        <f t="shared" si="1"/>
        <v>1</v>
      </c>
      <c r="G36" s="11">
        <f t="shared" si="4"/>
        <v>151569762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363</v>
      </c>
      <c r="F37" s="11">
        <f t="shared" si="1"/>
        <v>0</v>
      </c>
      <c r="G37" s="11">
        <f t="shared" si="4"/>
        <v>-326700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362</v>
      </c>
      <c r="F38" s="11">
        <f t="shared" si="1"/>
        <v>1</v>
      </c>
      <c r="G38" s="12">
        <f t="shared" si="4"/>
        <v>722000000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362</v>
      </c>
      <c r="F39" s="11">
        <f>IF(B39&gt;0,1,0)</f>
        <v>1</v>
      </c>
      <c r="G39" s="11">
        <f t="shared" si="4"/>
        <v>722000000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348</v>
      </c>
      <c r="F40" s="11">
        <f>IF(B40&gt;0,1,0)</f>
        <v>0</v>
      </c>
      <c r="G40" s="11">
        <f t="shared" si="4"/>
        <v>-69600000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348</v>
      </c>
      <c r="F41" s="11">
        <f>IF(B41&gt;0,1,0)</f>
        <v>0</v>
      </c>
      <c r="G41" s="11">
        <f t="shared" si="4"/>
        <v>-215760000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348</v>
      </c>
      <c r="F42" s="11">
        <f t="shared" ref="F42:F126" si="5">IF(B42&gt;0,1,0)</f>
        <v>0</v>
      </c>
      <c r="G42" s="11">
        <f t="shared" si="4"/>
        <v>-41760000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346</v>
      </c>
      <c r="F43" s="11">
        <f t="shared" si="5"/>
        <v>1</v>
      </c>
      <c r="G43" s="11">
        <f t="shared" si="4"/>
        <v>224250000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346</v>
      </c>
      <c r="F44" s="11">
        <f t="shared" si="5"/>
        <v>0</v>
      </c>
      <c r="G44" s="11">
        <f t="shared" si="4"/>
        <v>-1730000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346</v>
      </c>
      <c r="F45" s="11">
        <f t="shared" si="5"/>
        <v>1</v>
      </c>
      <c r="G45" s="11">
        <f t="shared" si="4"/>
        <v>10005000000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342</v>
      </c>
      <c r="F46" s="11">
        <f t="shared" si="5"/>
        <v>0</v>
      </c>
      <c r="G46" s="11">
        <f t="shared" si="4"/>
        <v>-68400000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339</v>
      </c>
      <c r="F47" s="11">
        <f t="shared" si="5"/>
        <v>0</v>
      </c>
      <c r="G47" s="11">
        <f t="shared" si="4"/>
        <v>-67800000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338</v>
      </c>
      <c r="F48" s="11">
        <f t="shared" si="5"/>
        <v>0</v>
      </c>
      <c r="G48" s="11">
        <f t="shared" si="4"/>
        <v>-67600000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333</v>
      </c>
      <c r="F49" s="11">
        <f t="shared" si="5"/>
        <v>1</v>
      </c>
      <c r="G49" s="11">
        <f t="shared" si="4"/>
        <v>996000000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333</v>
      </c>
      <c r="F50" s="11">
        <f t="shared" si="5"/>
        <v>1</v>
      </c>
      <c r="G50" s="12">
        <f t="shared" si="4"/>
        <v>996000000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332</v>
      </c>
      <c r="F51" s="11">
        <f t="shared" si="5"/>
        <v>1</v>
      </c>
      <c r="G51" s="11">
        <f t="shared" si="4"/>
        <v>253478807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332</v>
      </c>
      <c r="F52" s="11">
        <f t="shared" si="5"/>
        <v>0</v>
      </c>
      <c r="G52" s="11">
        <f t="shared" si="4"/>
        <v>-66400000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325</v>
      </c>
      <c r="F53" s="11">
        <f t="shared" si="5"/>
        <v>0</v>
      </c>
      <c r="G53" s="11">
        <f t="shared" si="4"/>
        <v>-130162500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316</v>
      </c>
      <c r="F54" s="11">
        <f t="shared" si="5"/>
        <v>0</v>
      </c>
      <c r="G54" s="11">
        <f t="shared" si="4"/>
        <v>-316125136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310</v>
      </c>
      <c r="F55" s="11">
        <f t="shared" si="5"/>
        <v>0</v>
      </c>
      <c r="G55" s="11">
        <f t="shared" si="4"/>
        <v>-12400000000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301</v>
      </c>
      <c r="F56" s="11">
        <f t="shared" si="5"/>
        <v>1</v>
      </c>
      <c r="G56" s="11">
        <f t="shared" si="4"/>
        <v>259695600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274</v>
      </c>
      <c r="F57" s="11">
        <f t="shared" si="5"/>
        <v>0</v>
      </c>
      <c r="G57" s="11">
        <f t="shared" si="4"/>
        <v>-13754800000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273</v>
      </c>
      <c r="F58" s="11">
        <f t="shared" si="5"/>
        <v>0</v>
      </c>
      <c r="G58" s="11">
        <f t="shared" si="4"/>
        <v>-3330736500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270</v>
      </c>
      <c r="F59" s="11">
        <f t="shared" si="5"/>
        <v>1</v>
      </c>
      <c r="G59" s="11">
        <f t="shared" si="4"/>
        <v>143889714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269</v>
      </c>
      <c r="F60" s="11">
        <f t="shared" si="5"/>
        <v>0</v>
      </c>
      <c r="G60" s="11">
        <f t="shared" si="4"/>
        <v>-90922000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267</v>
      </c>
      <c r="F61" s="11">
        <f t="shared" si="5"/>
        <v>0</v>
      </c>
      <c r="G61" s="11">
        <f t="shared" si="4"/>
        <v>-40050000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263</v>
      </c>
      <c r="F62" s="11">
        <f t="shared" si="5"/>
        <v>0</v>
      </c>
      <c r="G62" s="11">
        <f t="shared" si="4"/>
        <v>-26300000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259</v>
      </c>
      <c r="F63" s="11">
        <f t="shared" si="5"/>
        <v>0</v>
      </c>
      <c r="G63" s="11">
        <f t="shared" si="4"/>
        <v>-51800000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259</v>
      </c>
      <c r="F64" s="11">
        <f t="shared" si="5"/>
        <v>0</v>
      </c>
      <c r="G64" s="11">
        <f t="shared" si="4"/>
        <v>-22533000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255</v>
      </c>
      <c r="F65" s="11">
        <f t="shared" si="5"/>
        <v>0</v>
      </c>
      <c r="G65" s="11">
        <f t="shared" si="4"/>
        <v>-7004850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254</v>
      </c>
      <c r="F66" s="11">
        <f t="shared" si="5"/>
        <v>0</v>
      </c>
      <c r="G66" s="11">
        <f t="shared" si="4"/>
        <v>-84836000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249</v>
      </c>
      <c r="F67" s="11">
        <f t="shared" si="5"/>
        <v>0</v>
      </c>
      <c r="G67" s="11">
        <f t="shared" si="4"/>
        <v>-4980000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248</v>
      </c>
      <c r="F68" s="11">
        <f t="shared" si="5"/>
        <v>0</v>
      </c>
      <c r="G68" s="11">
        <f t="shared" si="4"/>
        <v>-74524000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248</v>
      </c>
      <c r="F69" s="11">
        <f t="shared" si="5"/>
        <v>0</v>
      </c>
      <c r="G69" s="11">
        <f t="shared" si="4"/>
        <v>-24800000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243</v>
      </c>
      <c r="F70" s="11">
        <f t="shared" si="5"/>
        <v>0</v>
      </c>
      <c r="G70" s="11">
        <f t="shared" si="4"/>
        <v>-48600000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239</v>
      </c>
      <c r="F71" s="11">
        <f t="shared" si="5"/>
        <v>1</v>
      </c>
      <c r="G71" s="11">
        <f t="shared" si="4"/>
        <v>3662582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239</v>
      </c>
      <c r="F72" s="11">
        <f t="shared" si="5"/>
        <v>1</v>
      </c>
      <c r="G72" s="11">
        <f t="shared" si="4"/>
        <v>952000000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239</v>
      </c>
      <c r="F73" s="11">
        <f t="shared" si="5"/>
        <v>1</v>
      </c>
      <c r="G73" s="11">
        <f t="shared" si="4"/>
        <v>618800000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239</v>
      </c>
      <c r="F74" s="11">
        <f t="shared" si="5"/>
        <v>1</v>
      </c>
      <c r="G74" s="11">
        <f t="shared" si="4"/>
        <v>714000000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236</v>
      </c>
      <c r="F75" s="11">
        <f t="shared" si="5"/>
        <v>0</v>
      </c>
      <c r="G75" s="11">
        <f t="shared" si="4"/>
        <v>-47200000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233</v>
      </c>
      <c r="F76" s="11">
        <f t="shared" si="5"/>
        <v>0</v>
      </c>
      <c r="G76" s="11">
        <f t="shared" si="4"/>
        <v>-466163100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233</v>
      </c>
      <c r="F77" s="11">
        <f t="shared" si="5"/>
        <v>0</v>
      </c>
      <c r="G77" s="11">
        <f t="shared" si="4"/>
        <v>-46600000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229</v>
      </c>
      <c r="F78" s="11">
        <f t="shared" si="5"/>
        <v>1</v>
      </c>
      <c r="G78" s="11">
        <f t="shared" si="4"/>
        <v>456000000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221</v>
      </c>
      <c r="F79" s="11">
        <f t="shared" si="5"/>
        <v>0</v>
      </c>
      <c r="G79" s="11">
        <f t="shared" si="4"/>
        <v>-221110500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221</v>
      </c>
      <c r="F80" s="11">
        <f t="shared" si="5"/>
        <v>0</v>
      </c>
      <c r="G80" s="11">
        <f t="shared" si="4"/>
        <v>-31370950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218</v>
      </c>
      <c r="F81" s="11">
        <f t="shared" si="5"/>
        <v>0</v>
      </c>
      <c r="G81" s="11">
        <f t="shared" si="4"/>
        <v>-196309000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208</v>
      </c>
      <c r="F82" s="11">
        <f t="shared" si="5"/>
        <v>1</v>
      </c>
      <c r="G82" s="11">
        <f t="shared" si="4"/>
        <v>16818957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186</v>
      </c>
      <c r="F83" s="11">
        <f t="shared" si="5"/>
        <v>1</v>
      </c>
      <c r="G83" s="11">
        <f t="shared" si="4"/>
        <v>9250000000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185</v>
      </c>
      <c r="F84" s="11">
        <f t="shared" si="5"/>
        <v>1</v>
      </c>
      <c r="G84" s="11">
        <f t="shared" si="4"/>
        <v>5520000000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185</v>
      </c>
      <c r="F85" s="11">
        <f t="shared" si="5"/>
        <v>0</v>
      </c>
      <c r="G85" s="11">
        <f t="shared" si="4"/>
        <v>-13412500000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184</v>
      </c>
      <c r="F86" s="11">
        <f t="shared" si="5"/>
        <v>0</v>
      </c>
      <c r="G86" s="11">
        <f t="shared" si="4"/>
        <v>-51704000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179</v>
      </c>
      <c r="F87" s="11">
        <f t="shared" si="5"/>
        <v>1</v>
      </c>
      <c r="G87" s="11">
        <f t="shared" si="4"/>
        <v>445000000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178</v>
      </c>
      <c r="F88" s="11">
        <f t="shared" si="5"/>
        <v>1</v>
      </c>
      <c r="G88" s="11">
        <f t="shared" si="4"/>
        <v>13866180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173</v>
      </c>
      <c r="F89" s="11">
        <f t="shared" si="5"/>
        <v>1</v>
      </c>
      <c r="G89" s="11">
        <f t="shared" si="4"/>
        <v>2580000000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148</v>
      </c>
      <c r="F90" s="11">
        <f t="shared" si="5"/>
        <v>1</v>
      </c>
      <c r="G90" s="11">
        <f t="shared" si="4"/>
        <v>35992362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119</v>
      </c>
      <c r="F91" s="11">
        <f t="shared" si="5"/>
        <v>1</v>
      </c>
      <c r="G91" s="11">
        <f t="shared" si="4"/>
        <v>32114290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89</v>
      </c>
      <c r="F92" s="11">
        <f t="shared" si="5"/>
        <v>1</v>
      </c>
      <c r="G92" s="11">
        <f t="shared" si="4"/>
        <v>264000000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89</v>
      </c>
      <c r="F93" s="11">
        <f t="shared" si="5"/>
        <v>1</v>
      </c>
      <c r="G93" s="11">
        <f t="shared" si="4"/>
        <v>24145880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88</v>
      </c>
      <c r="F94" s="11">
        <f t="shared" si="5"/>
        <v>1</v>
      </c>
      <c r="G94" s="11">
        <f t="shared" si="4"/>
        <v>478500000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87</v>
      </c>
      <c r="F95" s="11">
        <f t="shared" si="5"/>
        <v>1</v>
      </c>
      <c r="G95" s="11">
        <f t="shared" si="4"/>
        <v>258000000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86</v>
      </c>
      <c r="F96" s="11">
        <f t="shared" si="5"/>
        <v>1</v>
      </c>
      <c r="G96" s="11">
        <f t="shared" si="4"/>
        <v>255000000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85</v>
      </c>
      <c r="F97" s="11">
        <f t="shared" si="5"/>
        <v>1</v>
      </c>
      <c r="G97" s="11">
        <f t="shared" si="4"/>
        <v>252000000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84</v>
      </c>
      <c r="F98" s="11">
        <f t="shared" si="5"/>
        <v>1</v>
      </c>
      <c r="G98" s="11">
        <f t="shared" si="4"/>
        <v>249000000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83</v>
      </c>
      <c r="F99" s="11">
        <f t="shared" si="5"/>
        <v>1</v>
      </c>
      <c r="G99" s="11">
        <f t="shared" si="4"/>
        <v>246000000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81</v>
      </c>
      <c r="F100" s="11">
        <f t="shared" si="5"/>
        <v>1</v>
      </c>
      <c r="G100" s="11">
        <f t="shared" si="4"/>
        <v>79960000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80</v>
      </c>
      <c r="F101" s="11">
        <f t="shared" si="5"/>
        <v>0</v>
      </c>
      <c r="G101" s="11">
        <f t="shared" si="4"/>
        <v>-158936000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59</v>
      </c>
      <c r="F102" s="11">
        <f t="shared" si="5"/>
        <v>1</v>
      </c>
      <c r="G102" s="11">
        <f t="shared" si="4"/>
        <v>174000000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59</v>
      </c>
      <c r="F103" s="11">
        <f t="shared" si="5"/>
        <v>1</v>
      </c>
      <c r="G103" s="11">
        <f t="shared" si="4"/>
        <v>17139000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44</v>
      </c>
      <c r="F104" s="11">
        <f t="shared" si="5"/>
        <v>0</v>
      </c>
      <c r="G104" s="11">
        <f t="shared" si="4"/>
        <v>-440000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38</v>
      </c>
      <c r="F105" s="11">
        <f t="shared" si="5"/>
        <v>1</v>
      </c>
      <c r="G105" s="11">
        <f t="shared" si="4"/>
        <v>73963000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33</v>
      </c>
      <c r="F106" s="11">
        <f t="shared" si="5"/>
        <v>0</v>
      </c>
      <c r="G106" s="11">
        <f t="shared" si="4"/>
        <v>-1980000000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33</v>
      </c>
      <c r="F107" s="11">
        <f t="shared" si="5"/>
        <v>1</v>
      </c>
      <c r="G107" s="11">
        <f t="shared" si="4"/>
        <v>187200000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32</v>
      </c>
      <c r="F108" s="11">
        <f t="shared" si="5"/>
        <v>1</v>
      </c>
      <c r="G108" s="11">
        <f t="shared" si="4"/>
        <v>93000000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31</v>
      </c>
      <c r="F109" s="11">
        <f t="shared" si="5"/>
        <v>1</v>
      </c>
      <c r="G109" s="11">
        <f t="shared" si="4"/>
        <v>60000000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31</v>
      </c>
      <c r="F110" s="11">
        <f t="shared" si="5"/>
        <v>0</v>
      </c>
      <c r="G110" s="11">
        <f t="shared" si="4"/>
        <v>-155000000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30</v>
      </c>
      <c r="F111" s="11">
        <f t="shared" si="5"/>
        <v>1</v>
      </c>
      <c r="G111" s="11">
        <f t="shared" si="4"/>
        <v>11967372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22</v>
      </c>
      <c r="F112" s="11">
        <f t="shared" si="5"/>
        <v>1</v>
      </c>
      <c r="G112" s="11">
        <f t="shared" si="4"/>
        <v>882000000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15</v>
      </c>
      <c r="F113" s="11">
        <f t="shared" si="5"/>
        <v>0</v>
      </c>
      <c r="G113" s="11">
        <f t="shared" si="4"/>
        <v>-375000000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14</v>
      </c>
      <c r="F114" s="11">
        <f t="shared" si="5"/>
        <v>0</v>
      </c>
      <c r="G114" s="11">
        <f t="shared" si="4"/>
        <v>-2800000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12</v>
      </c>
      <c r="F115" s="11">
        <f t="shared" si="5"/>
        <v>0</v>
      </c>
      <c r="G115" s="11">
        <f t="shared" si="4"/>
        <v>-216000000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11</v>
      </c>
      <c r="F116" s="11">
        <f t="shared" si="5"/>
        <v>0</v>
      </c>
      <c r="G116" s="11">
        <f t="shared" si="4"/>
        <v>-27500000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1</v>
      </c>
      <c r="E117" s="11">
        <f t="shared" si="6"/>
        <v>1</v>
      </c>
      <c r="F117" s="11">
        <f t="shared" si="5"/>
        <v>1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4622461</v>
      </c>
      <c r="C127" s="11"/>
      <c r="D127" s="11"/>
      <c r="E127" s="11"/>
      <c r="F127" s="11"/>
      <c r="G127" s="29">
        <f>SUM(G2:G126)</f>
        <v>21498421928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42571132.530693069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K55" zoomScaleNormal="100" workbookViewId="0">
      <selection activeCell="AA83" sqref="AA8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90544146.085194513</v>
      </c>
      <c r="G15" s="29">
        <f t="shared" si="0"/>
        <v>4008853.9148054868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567216</v>
      </c>
      <c r="M16" s="2" t="s">
        <v>753</v>
      </c>
      <c r="N16" s="3">
        <f>'مسکن مریم یاران'!B127</f>
        <v>4622461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/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90544146.085194513</v>
      </c>
      <c r="M29" s="2"/>
      <c r="N29" s="3">
        <f>SUM(N16:N26)</f>
        <v>154775066.78432998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702227</v>
      </c>
      <c r="M30" s="2"/>
      <c r="N30" s="3">
        <f>N16+N17+N22</f>
        <v>5602101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147544146.08519453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4600000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127870000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  <c r="K67" s="48" t="s">
        <v>792</v>
      </c>
      <c r="L67" s="48" t="s">
        <v>476</v>
      </c>
    </row>
    <row r="68" spans="1:28" x14ac:dyDescent="0.25">
      <c r="K68" s="47">
        <v>1440000</v>
      </c>
      <c r="L68" s="48" t="s">
        <v>1055</v>
      </c>
    </row>
    <row r="69" spans="1:28" x14ac:dyDescent="0.25">
      <c r="K69" s="47">
        <v>500000</v>
      </c>
      <c r="L69" s="48" t="s">
        <v>479</v>
      </c>
      <c r="O69" t="s">
        <v>1254</v>
      </c>
      <c r="Q69" t="s">
        <v>1257</v>
      </c>
      <c r="R69" t="s">
        <v>282</v>
      </c>
      <c r="X69" t="s">
        <v>1259</v>
      </c>
      <c r="Y69" t="s">
        <v>1260</v>
      </c>
      <c r="Z69" t="s">
        <v>1261</v>
      </c>
      <c r="AA69" t="s">
        <v>282</v>
      </c>
      <c r="AB69" t="s">
        <v>8</v>
      </c>
    </row>
    <row r="70" spans="1:28" x14ac:dyDescent="0.25">
      <c r="K70" s="47">
        <v>180000</v>
      </c>
      <c r="L70" s="48" t="s">
        <v>558</v>
      </c>
      <c r="O70" t="s">
        <v>1255</v>
      </c>
      <c r="P70" s="1">
        <v>72500000</v>
      </c>
      <c r="Q70">
        <v>0</v>
      </c>
      <c r="T70" t="s">
        <v>1256</v>
      </c>
      <c r="V70" s="138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300000</v>
      </c>
      <c r="L71" s="48" t="s">
        <v>788</v>
      </c>
      <c r="O71" t="s">
        <v>746</v>
      </c>
      <c r="P71" s="1">
        <v>-15000000</v>
      </c>
      <c r="Q71">
        <v>5</v>
      </c>
      <c r="R71" s="1">
        <f>P71*Q71</f>
        <v>-75000000</v>
      </c>
      <c r="V71" t="s">
        <v>1258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1262</v>
      </c>
    </row>
    <row r="72" spans="1:28" x14ac:dyDescent="0.25">
      <c r="K72" s="47">
        <v>250000</v>
      </c>
      <c r="L72" s="48" t="s">
        <v>789</v>
      </c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500000</v>
      </c>
      <c r="L73" s="48" t="s">
        <v>790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1264</v>
      </c>
    </row>
    <row r="74" spans="1:28" x14ac:dyDescent="0.25">
      <c r="K74" s="47">
        <v>75000</v>
      </c>
      <c r="L74" s="48" t="s">
        <v>791</v>
      </c>
      <c r="V74" t="s">
        <v>1263</v>
      </c>
      <c r="W74" s="1">
        <v>15000000</v>
      </c>
      <c r="X74">
        <v>238</v>
      </c>
      <c r="AA74" s="1"/>
    </row>
    <row r="75" spans="1:28" x14ac:dyDescent="0.25">
      <c r="K75" s="47">
        <v>450000</v>
      </c>
      <c r="L75" s="48" t="s">
        <v>793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500000</v>
      </c>
      <c r="L76" s="48" t="s">
        <v>564</v>
      </c>
      <c r="AA76" t="s">
        <v>1265</v>
      </c>
    </row>
    <row r="77" spans="1:28" x14ac:dyDescent="0.25">
      <c r="K77" s="47">
        <v>50000</v>
      </c>
      <c r="L77" s="48" t="s">
        <v>796</v>
      </c>
    </row>
    <row r="78" spans="1:28" x14ac:dyDescent="0.25">
      <c r="K78" s="47">
        <v>140000</v>
      </c>
      <c r="L78" s="48" t="s">
        <v>314</v>
      </c>
      <c r="AA78" t="s">
        <v>1266</v>
      </c>
    </row>
    <row r="79" spans="1:28" x14ac:dyDescent="0.25">
      <c r="K79" s="47"/>
      <c r="L79" s="48" t="s">
        <v>25</v>
      </c>
      <c r="AA79" s="1">
        <f>AA75*300000/365000000</f>
        <v>973972.60273972608</v>
      </c>
    </row>
    <row r="80" spans="1:28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2018-04-20T16:32:24Z</dcterms:modified>
</cp:coreProperties>
</file>