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P51" i="60" l="1"/>
  <c r="S175" i="18" l="1"/>
  <c r="O19" i="18"/>
  <c r="O214" i="52"/>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8" i="18"/>
  <c r="D352" i="15" l="1"/>
  <c r="F353" i="15"/>
  <c r="L52" i="18"/>
  <c r="F352" i="15" l="1"/>
  <c r="D351" i="15"/>
  <c r="O213" i="52"/>
  <c r="J213" i="52"/>
  <c r="N214" i="52"/>
  <c r="P214" i="52" s="1"/>
  <c r="N215" i="52"/>
  <c r="O215" i="52"/>
  <c r="N216" i="52"/>
  <c r="P216" i="52" s="1"/>
  <c r="O216" i="52"/>
  <c r="N217" i="52"/>
  <c r="O217" i="52"/>
  <c r="N218" i="52"/>
  <c r="P218" i="52" s="1"/>
  <c r="O218" i="52"/>
  <c r="N219" i="52"/>
  <c r="O219" i="52"/>
  <c r="N220" i="52"/>
  <c r="P220" i="52" s="1"/>
  <c r="O220" i="52"/>
  <c r="N221" i="52"/>
  <c r="P221" i="52" s="1"/>
  <c r="O221" i="52"/>
  <c r="N222" i="52"/>
  <c r="O222" i="52"/>
  <c r="P222" i="52"/>
  <c r="N223" i="52"/>
  <c r="P223" i="52" s="1"/>
  <c r="O223" i="52"/>
  <c r="N224" i="52"/>
  <c r="P224" i="52" s="1"/>
  <c r="O224" i="52"/>
  <c r="N225" i="52"/>
  <c r="O225" i="52"/>
  <c r="P225" i="52"/>
  <c r="N226" i="52"/>
  <c r="P226" i="52" s="1"/>
  <c r="O226" i="52"/>
  <c r="N227" i="52"/>
  <c r="O227" i="52"/>
  <c r="N228" i="52"/>
  <c r="O228" i="52"/>
  <c r="N229" i="52"/>
  <c r="P229" i="52" s="1"/>
  <c r="O229" i="52"/>
  <c r="N230" i="52"/>
  <c r="O230" i="52"/>
  <c r="P230" i="52"/>
  <c r="N231" i="52"/>
  <c r="P231" i="52" s="1"/>
  <c r="O231" i="52"/>
  <c r="N232" i="52"/>
  <c r="P232" i="52" s="1"/>
  <c r="O232" i="52"/>
  <c r="N233" i="52"/>
  <c r="O233" i="52"/>
  <c r="P233" i="52"/>
  <c r="N234" i="52"/>
  <c r="P234" i="52" s="1"/>
  <c r="O234" i="52"/>
  <c r="N235" i="52"/>
  <c r="O235" i="52"/>
  <c r="N236" i="52"/>
  <c r="O236" i="52"/>
  <c r="N237" i="52"/>
  <c r="P237" i="52" s="1"/>
  <c r="O237" i="52"/>
  <c r="N238" i="52"/>
  <c r="O238" i="52"/>
  <c r="P238" i="52"/>
  <c r="N239" i="52"/>
  <c r="P239" i="52" s="1"/>
  <c r="O239" i="52"/>
  <c r="N240" i="52"/>
  <c r="P240" i="52" s="1"/>
  <c r="O240" i="52"/>
  <c r="N241" i="52"/>
  <c r="O241" i="52"/>
  <c r="N242" i="52"/>
  <c r="P242" i="52" s="1"/>
  <c r="O242" i="52"/>
  <c r="N243" i="52"/>
  <c r="O243" i="52"/>
  <c r="J214" i="52"/>
  <c r="J215" i="52"/>
  <c r="J216" i="52"/>
  <c r="J217" i="52"/>
  <c r="J218" i="52"/>
  <c r="J219" i="52"/>
  <c r="J220" i="52"/>
  <c r="J221" i="52"/>
  <c r="J222" i="52"/>
  <c r="J223" i="52"/>
  <c r="J224" i="52"/>
  <c r="J225" i="52"/>
  <c r="J226" i="52"/>
  <c r="J227" i="52"/>
  <c r="J228" i="52"/>
  <c r="J229" i="52"/>
  <c r="J230" i="52"/>
  <c r="J231" i="52"/>
  <c r="J232" i="52"/>
  <c r="J233" i="52"/>
  <c r="J234" i="52"/>
  <c r="J235" i="52"/>
  <c r="J236" i="52"/>
  <c r="J237" i="52"/>
  <c r="J238" i="52"/>
  <c r="J239" i="52"/>
  <c r="J240" i="52"/>
  <c r="J241" i="52"/>
  <c r="J242" i="52"/>
  <c r="J243" i="52"/>
  <c r="P185" i="18"/>
  <c r="W335" i="18"/>
  <c r="O212" i="52"/>
  <c r="P215" i="52" l="1"/>
  <c r="D350" i="15"/>
  <c r="F351" i="15"/>
  <c r="P243" i="52"/>
  <c r="P241" i="52"/>
  <c r="P235" i="52"/>
  <c r="P227" i="52"/>
  <c r="P219" i="52"/>
  <c r="P217" i="52"/>
  <c r="P236" i="52"/>
  <c r="P228" i="52"/>
  <c r="J212" i="52"/>
  <c r="D90" i="52"/>
  <c r="D349" i="15" l="1"/>
  <c r="F350" i="15"/>
  <c r="O211" i="52"/>
  <c r="D348" i="15" l="1"/>
  <c r="F349" i="15"/>
  <c r="J211" i="52"/>
  <c r="G147" i="18"/>
  <c r="J147" i="18" s="1"/>
  <c r="G146" i="18"/>
  <c r="J146" i="18" s="1"/>
  <c r="W334" i="18"/>
  <c r="P24" i="18"/>
  <c r="N24" i="18" s="1"/>
  <c r="P33" i="18"/>
  <c r="N33" i="18" s="1"/>
  <c r="N51" i="18"/>
  <c r="F348" i="15" l="1"/>
  <c r="D347" i="15"/>
  <c r="I148" i="18"/>
  <c r="O210" i="52"/>
  <c r="W333" i="18"/>
  <c r="D346" i="15" l="1"/>
  <c r="F347" i="15"/>
  <c r="J210" i="52"/>
  <c r="D345" i="15" l="1"/>
  <c r="F346" i="15"/>
  <c r="P31" i="18"/>
  <c r="N31" i="18" s="1"/>
  <c r="P23" i="18"/>
  <c r="N23" i="18" s="1"/>
  <c r="N50" i="18"/>
  <c r="J209" i="52"/>
  <c r="O208" i="52"/>
  <c r="J208" i="52"/>
  <c r="D344" i="15" l="1"/>
  <c r="F345" i="15"/>
  <c r="W332" i="18"/>
  <c r="F344" i="15" l="1"/>
  <c r="D343" i="15"/>
  <c r="O207" i="52"/>
  <c r="J207" i="52"/>
  <c r="W331" i="18"/>
  <c r="D342" i="15" l="1"/>
  <c r="F343" i="15"/>
  <c r="W330" i="18"/>
  <c r="D341" i="15" l="1"/>
  <c r="F342" i="15"/>
  <c r="W329" i="18"/>
  <c r="D340" i="15" l="1"/>
  <c r="F341" i="15"/>
  <c r="O204" i="52"/>
  <c r="F340" i="15" l="1"/>
  <c r="D339" i="15"/>
  <c r="J203" i="52"/>
  <c r="U338" i="18"/>
  <c r="W328" i="18"/>
  <c r="J204" i="52"/>
  <c r="N204" i="52"/>
  <c r="J205" i="52"/>
  <c r="N205" i="52"/>
  <c r="O205" i="52"/>
  <c r="J206" i="52"/>
  <c r="N206" i="52"/>
  <c r="O206" i="52"/>
  <c r="N207" i="52"/>
  <c r="P207" i="52" s="1"/>
  <c r="N208" i="52"/>
  <c r="N209" i="52"/>
  <c r="O209" i="52"/>
  <c r="N210" i="52"/>
  <c r="N211" i="52"/>
  <c r="N212" i="52"/>
  <c r="N213" i="52"/>
  <c r="D338" i="15" l="1"/>
  <c r="F339" i="15"/>
  <c r="P213" i="52"/>
  <c r="P212" i="52"/>
  <c r="P211" i="52"/>
  <c r="P210" i="52"/>
  <c r="P209" i="52"/>
  <c r="P208" i="52"/>
  <c r="P206" i="52"/>
  <c r="P205" i="52"/>
  <c r="G126" i="18"/>
  <c r="J126" i="18" s="1"/>
  <c r="D337" i="15" l="1"/>
  <c r="F338" i="15"/>
  <c r="W327" i="18"/>
  <c r="W326" i="18"/>
  <c r="W325" i="18"/>
  <c r="J202" i="52"/>
  <c r="D336" i="15" l="1"/>
  <c r="F337" i="15"/>
  <c r="W324" i="18"/>
  <c r="J201" i="52"/>
  <c r="W323" i="18"/>
  <c r="AB93" i="52"/>
  <c r="F336" i="15" l="1"/>
  <c r="D335" i="15"/>
  <c r="AC93" i="52"/>
  <c r="J200" i="52"/>
  <c r="D334" i="15" l="1"/>
  <c r="F335" i="15"/>
  <c r="W322" i="18"/>
  <c r="W321" i="18"/>
  <c r="AL207" i="18"/>
  <c r="AL206" i="18" s="1"/>
  <c r="F334" i="15" l="1"/>
  <c r="D333" i="15"/>
  <c r="AL205" i="18"/>
  <c r="AM206" i="18"/>
  <c r="AM207" i="18"/>
  <c r="W320" i="18"/>
  <c r="P32" i="18"/>
  <c r="N32" i="18" s="1"/>
  <c r="P25" i="18"/>
  <c r="D332" i="15" l="1"/>
  <c r="F333" i="15"/>
  <c r="AM205" i="18"/>
  <c r="AL204" i="18"/>
  <c r="F32" i="60"/>
  <c r="G32" i="60" s="1"/>
  <c r="F33" i="60"/>
  <c r="G33" i="60" s="1"/>
  <c r="F34" i="60"/>
  <c r="G34" i="60" s="1"/>
  <c r="F35" i="60"/>
  <c r="G35" i="60" s="1"/>
  <c r="F30" i="60"/>
  <c r="G30" i="60" s="1"/>
  <c r="F31" i="60"/>
  <c r="G31" i="60" s="1"/>
  <c r="F29" i="60"/>
  <c r="G29" i="60" s="1"/>
  <c r="F332" i="15" l="1"/>
  <c r="D331" i="15"/>
  <c r="AL203" i="18"/>
  <c r="AM204" i="18"/>
  <c r="E319" i="15"/>
  <c r="E320" i="15"/>
  <c r="E321" i="15"/>
  <c r="E322" i="15"/>
  <c r="E323" i="15"/>
  <c r="E324" i="15"/>
  <c r="E325" i="15"/>
  <c r="E326" i="15"/>
  <c r="E307" i="15"/>
  <c r="E308" i="15"/>
  <c r="E309" i="15"/>
  <c r="E310" i="15"/>
  <c r="E311" i="15"/>
  <c r="E312" i="15"/>
  <c r="E313" i="15"/>
  <c r="E314" i="15"/>
  <c r="E315" i="15"/>
  <c r="E316" i="15"/>
  <c r="E317" i="15"/>
  <c r="E318" i="15"/>
  <c r="D330" i="15" l="1"/>
  <c r="F331" i="15"/>
  <c r="AM203" i="18"/>
  <c r="AL202" i="18"/>
  <c r="W319" i="18"/>
  <c r="F330" i="15" l="1"/>
  <c r="D329" i="15"/>
  <c r="AL201" i="18"/>
  <c r="AM202" i="18"/>
  <c r="D328" i="15" l="1"/>
  <c r="F329" i="15"/>
  <c r="AM201" i="18"/>
  <c r="AL200" i="18"/>
  <c r="L47" i="18"/>
  <c r="W318" i="18"/>
  <c r="D99" i="58"/>
  <c r="D327" i="15" l="1"/>
  <c r="F328" i="15"/>
  <c r="AL199" i="18"/>
  <c r="AM200" i="18"/>
  <c r="W317" i="18"/>
  <c r="AB92" i="52"/>
  <c r="AB102" i="52" s="1"/>
  <c r="AB103" i="52" s="1"/>
  <c r="F327" i="15" l="1"/>
  <c r="D326" i="15"/>
  <c r="AM199" i="18"/>
  <c r="AL198" i="18"/>
  <c r="AC92" i="52"/>
  <c r="F326" i="15" l="1"/>
  <c r="D325" i="15"/>
  <c r="AL197" i="18"/>
  <c r="AM198" i="18"/>
  <c r="J195" i="52"/>
  <c r="O195" i="52"/>
  <c r="J194" i="52"/>
  <c r="W316" i="18"/>
  <c r="O13" i="18"/>
  <c r="F325" i="15" l="1"/>
  <c r="D324" i="15"/>
  <c r="AM197" i="18"/>
  <c r="AL196" i="18"/>
  <c r="N194" i="52"/>
  <c r="W315" i="18"/>
  <c r="W314" i="18"/>
  <c r="AB91" i="52"/>
  <c r="F324" i="15" l="1"/>
  <c r="D323" i="15"/>
  <c r="AM196" i="18"/>
  <c r="AL195" i="18"/>
  <c r="AC91" i="52"/>
  <c r="AB90" i="52"/>
  <c r="W313" i="18"/>
  <c r="AB89" i="52"/>
  <c r="AB101" i="52" s="1"/>
  <c r="F323" i="15" l="1"/>
  <c r="D322" i="15"/>
  <c r="AM195" i="18"/>
  <c r="AL194" i="18"/>
  <c r="AC89" i="52"/>
  <c r="AC90" i="52"/>
  <c r="R187" i="18"/>
  <c r="F322" i="15" l="1"/>
  <c r="D321" i="15"/>
  <c r="AM194" i="18"/>
  <c r="AL193" i="18"/>
  <c r="W312" i="18"/>
  <c r="F321" i="15" l="1"/>
  <c r="D320" i="15"/>
  <c r="AM193" i="18"/>
  <c r="AL192" i="18"/>
  <c r="G134" i="18"/>
  <c r="J134" i="18" s="1"/>
  <c r="G133" i="18"/>
  <c r="J133" i="18" s="1"/>
  <c r="W311" i="18"/>
  <c r="O190" i="52"/>
  <c r="J190" i="52"/>
  <c r="F320" i="15" l="1"/>
  <c r="D319" i="15"/>
  <c r="AM192" i="18"/>
  <c r="AL191" i="18"/>
  <c r="AM191" i="18" s="1"/>
  <c r="W310" i="18"/>
  <c r="AB88" i="52"/>
  <c r="F319" i="15" l="1"/>
  <c r="D318" i="15"/>
  <c r="AC88" i="52"/>
  <c r="N55" i="18"/>
  <c r="N53" i="18"/>
  <c r="F318" i="15" l="1"/>
  <c r="D317" i="15"/>
  <c r="O187" i="52"/>
  <c r="W309" i="18"/>
  <c r="F317" i="15" l="1"/>
  <c r="D316" i="15"/>
  <c r="J186" i="52"/>
  <c r="W308" i="18"/>
  <c r="W296" i="18"/>
  <c r="W295" i="18"/>
  <c r="F316" i="15" l="1"/>
  <c r="D315" i="15"/>
  <c r="J185" i="52"/>
  <c r="P30" i="18"/>
  <c r="N30" i="18" s="1"/>
  <c r="W307" i="18"/>
  <c r="F315" i="15" l="1"/>
  <c r="D314" i="15"/>
  <c r="AB86" i="52"/>
  <c r="AB87" i="52"/>
  <c r="AB97" i="52"/>
  <c r="AC97" i="52" s="1"/>
  <c r="F314" i="15" l="1"/>
  <c r="D313" i="15"/>
  <c r="AC87" i="52"/>
  <c r="AC86" i="52"/>
  <c r="AB85" i="52"/>
  <c r="F313" i="15" l="1"/>
  <c r="D312" i="15"/>
  <c r="AC85" i="52"/>
  <c r="M111" i="18"/>
  <c r="N181" i="52"/>
  <c r="F312" i="15" l="1"/>
  <c r="D311" i="15"/>
  <c r="W306" i="18"/>
  <c r="B8" i="36"/>
  <c r="F311" i="15" l="1"/>
  <c r="D310" i="15"/>
  <c r="O178" i="52"/>
  <c r="J178" i="52"/>
  <c r="F310" i="15" l="1"/>
  <c r="D309" i="15"/>
  <c r="N25" i="18"/>
  <c r="N49" i="18"/>
  <c r="W305" i="18"/>
  <c r="O177" i="52"/>
  <c r="J177" i="52"/>
  <c r="AB84" i="52"/>
  <c r="AC84" i="52" s="1"/>
  <c r="F309" i="15" l="1"/>
  <c r="D308" i="15"/>
  <c r="AB83" i="52"/>
  <c r="O176" i="52"/>
  <c r="J176" i="52"/>
  <c r="F308" i="15" l="1"/>
  <c r="D307" i="15"/>
  <c r="F307" i="15" s="1"/>
  <c r="AC83" i="52"/>
  <c r="AB82" i="52"/>
  <c r="AC82" i="52" l="1"/>
  <c r="J174" i="52"/>
  <c r="W304" i="18"/>
  <c r="AB81" i="52"/>
  <c r="AB80" i="52"/>
  <c r="AB100" i="52" l="1"/>
  <c r="AB99" i="52"/>
  <c r="AC80" i="52"/>
  <c r="AC81" i="52"/>
  <c r="J168" i="52"/>
  <c r="O168" i="52"/>
  <c r="W303" i="18"/>
  <c r="AL348" i="18" l="1"/>
  <c r="AL347" i="18" s="1"/>
  <c r="O167" i="52"/>
  <c r="W302" i="18"/>
  <c r="AM347" i="18" l="1"/>
  <c r="AL346" i="18"/>
  <c r="AM348" i="18"/>
  <c r="O166" i="52"/>
  <c r="W301" i="18"/>
  <c r="AL345" i="18" l="1"/>
  <c r="AM346" i="18"/>
  <c r="W300" i="18"/>
  <c r="O165" i="52"/>
  <c r="J165" i="52"/>
  <c r="P22" i="18"/>
  <c r="N22" i="18" s="1"/>
  <c r="AM345" i="18" l="1"/>
  <c r="AL344" i="18"/>
  <c r="C7" i="60"/>
  <c r="D3" i="60"/>
  <c r="D4" i="60"/>
  <c r="D5" i="60"/>
  <c r="D2" i="60"/>
  <c r="F2" i="60"/>
  <c r="AL343" i="18" l="1"/>
  <c r="AM344" i="18"/>
  <c r="O162" i="52"/>
  <c r="J162" i="52"/>
  <c r="W299" i="18"/>
  <c r="AL342" i="18" l="1"/>
  <c r="AM34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41" i="18" l="1"/>
  <c r="AM342" i="18"/>
  <c r="P203" i="52"/>
  <c r="P204" i="52"/>
  <c r="P201" i="52"/>
  <c r="P200" i="52"/>
  <c r="P190" i="52"/>
  <c r="P187" i="52"/>
  <c r="P177" i="52"/>
  <c r="P186" i="52"/>
  <c r="P185" i="52"/>
  <c r="P176" i="52"/>
  <c r="P162" i="52"/>
  <c r="P166" i="52"/>
  <c r="P174" i="52"/>
  <c r="P168" i="52"/>
  <c r="P165" i="52"/>
  <c r="P167" i="52"/>
  <c r="O160" i="52"/>
  <c r="J160" i="52"/>
  <c r="N160" i="52"/>
  <c r="AB79" i="52"/>
  <c r="AL340" i="18" l="1"/>
  <c r="AM341" i="18"/>
  <c r="AC79" i="52"/>
  <c r="W298" i="18"/>
  <c r="AB78" i="52"/>
  <c r="AC78" i="52" s="1"/>
  <c r="AL339" i="18" l="1"/>
  <c r="AM340" i="18"/>
  <c r="W297" i="18"/>
  <c r="AL338" i="18" l="1"/>
  <c r="AM339" i="18"/>
  <c r="AL190" i="18"/>
  <c r="AF76" i="52"/>
  <c r="AB77" i="52"/>
  <c r="AC77" i="52" s="1"/>
  <c r="AB76" i="52"/>
  <c r="AC76" i="52" s="1"/>
  <c r="AL337" i="18" l="1"/>
  <c r="AM338" i="18"/>
  <c r="AL189" i="18"/>
  <c r="AM190" i="18"/>
  <c r="N159" i="52"/>
  <c r="P160" i="52" s="1"/>
  <c r="W294" i="18"/>
  <c r="AL336" i="18" l="1"/>
  <c r="AM33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35" i="18" l="1"/>
  <c r="AM336" i="18"/>
  <c r="AL187" i="18"/>
  <c r="AM188" i="18"/>
  <c r="M108" i="18"/>
  <c r="AM335" i="18" l="1"/>
  <c r="AL334" i="18"/>
  <c r="AM187" i="18"/>
  <c r="AL186" i="18"/>
  <c r="G125" i="18"/>
  <c r="J125" i="18" s="1"/>
  <c r="J151" i="52"/>
  <c r="AL333" i="18" l="1"/>
  <c r="AM334" i="18"/>
  <c r="AL185" i="18"/>
  <c r="AM186" i="18"/>
  <c r="W293" i="18"/>
  <c r="K114" i="18"/>
  <c r="W292" i="18"/>
  <c r="O150" i="52"/>
  <c r="AL332" i="18" l="1"/>
  <c r="AM333" i="18"/>
  <c r="AM185" i="18"/>
  <c r="AL184" i="18"/>
  <c r="AM332" i="18" l="1"/>
  <c r="AL331" i="18"/>
  <c r="AL183" i="18"/>
  <c r="AM184" i="18"/>
  <c r="AD59" i="52"/>
  <c r="Q146" i="52"/>
  <c r="J146" i="52"/>
  <c r="W29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30" i="18" l="1"/>
  <c r="AM331" i="18"/>
  <c r="AM183" i="18"/>
  <c r="AL182" i="18"/>
  <c r="P151" i="52"/>
  <c r="P150" i="52"/>
  <c r="P157" i="52"/>
  <c r="P148" i="52"/>
  <c r="P158" i="52"/>
  <c r="P156" i="52"/>
  <c r="P155" i="52"/>
  <c r="P154" i="52"/>
  <c r="P153" i="52"/>
  <c r="P152" i="52"/>
  <c r="P149" i="52"/>
  <c r="P147" i="52"/>
  <c r="O145" i="52"/>
  <c r="J145" i="52"/>
  <c r="J144" i="52"/>
  <c r="J143" i="52"/>
  <c r="AM330" i="18" l="1"/>
  <c r="AL329" i="18"/>
  <c r="AL181" i="18"/>
  <c r="AM182" i="18"/>
  <c r="W290" i="18"/>
  <c r="AL328" i="18" l="1"/>
  <c r="AM329" i="18"/>
  <c r="AM181" i="18"/>
  <c r="AL180" i="18"/>
  <c r="G140" i="18"/>
  <c r="J140" i="18" s="1"/>
  <c r="J142" i="18" s="1"/>
  <c r="I142" i="18" s="1"/>
  <c r="G132" i="18"/>
  <c r="J132" i="18" s="1"/>
  <c r="W289" i="18"/>
  <c r="AL327" i="18" l="1"/>
  <c r="AM328" i="18"/>
  <c r="J136" i="18"/>
  <c r="I136" i="18" s="1"/>
  <c r="AM180" i="18"/>
  <c r="AL179" i="18"/>
  <c r="O142" i="52"/>
  <c r="J142" i="52"/>
  <c r="N47" i="18"/>
  <c r="W288" i="18"/>
  <c r="P26" i="18"/>
  <c r="AM327" i="18" l="1"/>
  <c r="AL326" i="18"/>
  <c r="AM179" i="18"/>
  <c r="AL178" i="18"/>
  <c r="AM178" i="18" s="1"/>
  <c r="P29" i="18"/>
  <c r="N29" i="18" s="1"/>
  <c r="O140" i="52"/>
  <c r="J140" i="52"/>
  <c r="W287" i="18"/>
  <c r="AM326" i="18" l="1"/>
  <c r="AL325" i="18"/>
  <c r="W286" i="18"/>
  <c r="W285" i="18"/>
  <c r="O139" i="52"/>
  <c r="J139" i="52"/>
  <c r="AB73" i="52"/>
  <c r="AM325" i="18" l="1"/>
  <c r="AL324" i="18"/>
  <c r="AD73" i="52"/>
  <c r="AC73" i="52"/>
  <c r="W284" i="18"/>
  <c r="AM324" i="18" l="1"/>
  <c r="AL323" i="18"/>
  <c r="AB72" i="52"/>
  <c r="AD72" i="52" s="1"/>
  <c r="AB71" i="52"/>
  <c r="AD71" i="52" s="1"/>
  <c r="AL322" i="18" l="1"/>
  <c r="AM323" i="18"/>
  <c r="AC72" i="52"/>
  <c r="AC71" i="52"/>
  <c r="M41" i="52"/>
  <c r="AM322" i="18" l="1"/>
  <c r="AL321" i="18"/>
  <c r="O135" i="52"/>
  <c r="J135" i="52"/>
  <c r="AD57" i="52"/>
  <c r="AB69" i="52"/>
  <c r="AD69" i="52" s="1"/>
  <c r="AB70" i="52"/>
  <c r="AD70" i="52" s="1"/>
  <c r="AL320" i="18" l="1"/>
  <c r="AM321" i="18"/>
  <c r="AC70" i="52"/>
  <c r="AC69" i="52"/>
  <c r="AM320" i="18" l="1"/>
  <c r="AL319" i="18"/>
  <c r="W283" i="18"/>
  <c r="AM319" i="18" l="1"/>
  <c r="AL318" i="18"/>
  <c r="O132" i="52"/>
  <c r="W282" i="18"/>
  <c r="AM318" i="18" l="1"/>
  <c r="AL317" i="18"/>
  <c r="O131" i="52"/>
  <c r="J3" i="60"/>
  <c r="J4" i="60"/>
  <c r="J5" i="60"/>
  <c r="J2" i="60"/>
  <c r="I9" i="60"/>
  <c r="I7" i="60"/>
  <c r="AL316" i="18" l="1"/>
  <c r="AM317" i="18"/>
  <c r="O130" i="52"/>
  <c r="O129" i="52"/>
  <c r="W281" i="18"/>
  <c r="S246" i="18"/>
  <c r="W280" i="18"/>
  <c r="AM316" i="18" l="1"/>
  <c r="AL315" i="18"/>
  <c r="N129" i="52"/>
  <c r="AM315" i="18" l="1"/>
  <c r="AL314" i="18"/>
  <c r="O127" i="52"/>
  <c r="AL313" i="18" l="1"/>
  <c r="AM314" i="18"/>
  <c r="J126" i="52"/>
  <c r="O126" i="52"/>
  <c r="W279" i="18"/>
  <c r="AL312" i="18" l="1"/>
  <c r="AM313" i="18"/>
  <c r="O125" i="52"/>
  <c r="J125" i="52"/>
  <c r="AM312" i="18" l="1"/>
  <c r="AL311" i="18"/>
  <c r="W278" i="18"/>
  <c r="AL310" i="18" l="1"/>
  <c r="AM31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7" i="18"/>
  <c r="AM310" i="18" l="1"/>
  <c r="AL3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09" i="18" l="1"/>
  <c r="AL308" i="18"/>
  <c r="W276" i="18"/>
  <c r="AM308" i="18" l="1"/>
  <c r="AL307" i="18"/>
  <c r="AM307" i="18" l="1"/>
  <c r="AL306" i="18"/>
  <c r="O121" i="52"/>
  <c r="J121" i="52"/>
  <c r="W275" i="18"/>
  <c r="AL305" i="18" l="1"/>
  <c r="AM306" i="18"/>
  <c r="W274" i="18"/>
  <c r="J120" i="52"/>
  <c r="M109" i="18"/>
  <c r="AL304" i="18" l="1"/>
  <c r="AM305" i="18"/>
  <c r="AL303" i="18" l="1"/>
  <c r="AM304" i="18"/>
  <c r="O117" i="52"/>
  <c r="AL302" i="18" l="1"/>
  <c r="AM303" i="18"/>
  <c r="O116" i="52"/>
  <c r="N116" i="52"/>
  <c r="AM302" i="18" l="1"/>
  <c r="AL301" i="18"/>
  <c r="W273" i="18"/>
  <c r="AM301" i="18" l="1"/>
  <c r="AL3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299" i="18" l="1"/>
  <c r="AM300" i="18"/>
  <c r="AM299" i="18" l="1"/>
  <c r="AL298" i="18"/>
  <c r="AM298" i="18" l="1"/>
  <c r="AL297" i="18"/>
  <c r="AM297" i="18" l="1"/>
  <c r="AL29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296" i="18" l="1"/>
  <c r="AL2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5" i="18" l="1"/>
  <c r="AL294" i="18"/>
  <c r="P120" i="52"/>
  <c r="P121" i="52"/>
  <c r="D305" i="15"/>
  <c r="F305" i="15" s="1"/>
  <c r="P112" i="52"/>
  <c r="P113" i="52"/>
  <c r="P118" i="52"/>
  <c r="P122" i="52"/>
  <c r="P119" i="52"/>
  <c r="P114" i="52"/>
  <c r="P115" i="52"/>
  <c r="O110" i="52"/>
  <c r="AL293" i="18" l="1"/>
  <c r="AM294" i="18"/>
  <c r="D304" i="15"/>
  <c r="F304" i="15" s="1"/>
  <c r="W272" i="18"/>
  <c r="J108" i="52"/>
  <c r="AM293" i="18" l="1"/>
  <c r="AL292" i="18"/>
  <c r="D303" i="15"/>
  <c r="F303" i="15" s="1"/>
  <c r="W271" i="18"/>
  <c r="W270" i="18"/>
  <c r="AM292" i="18" l="1"/>
  <c r="AL291" i="18"/>
  <c r="D302" i="15"/>
  <c r="F302" i="15" s="1"/>
  <c r="O106" i="52"/>
  <c r="J106" i="52"/>
  <c r="AM291" i="18" l="1"/>
  <c r="AL290" i="18"/>
  <c r="D301" i="15"/>
  <c r="F301" i="15" s="1"/>
  <c r="J104" i="52"/>
  <c r="G124" i="18"/>
  <c r="J124" i="18" s="1"/>
  <c r="J128" i="18" s="1"/>
  <c r="I128" i="18" s="1"/>
  <c r="E276" i="15"/>
  <c r="E277" i="15"/>
  <c r="E278" i="15"/>
  <c r="E279" i="15"/>
  <c r="E280" i="15"/>
  <c r="AM290" i="18" l="1"/>
  <c r="AL289" i="18"/>
  <c r="D300" i="15"/>
  <c r="F300" i="15" s="1"/>
  <c r="W269" i="18"/>
  <c r="D299" i="15" l="1"/>
  <c r="F299" i="15" s="1"/>
  <c r="E7" i="60"/>
  <c r="N3" i="60"/>
  <c r="F3" i="60"/>
  <c r="F4" i="60"/>
  <c r="F5" i="60"/>
  <c r="F6" i="60"/>
  <c r="D9" i="60" l="1"/>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8" i="18"/>
  <c r="D21" i="60" l="1"/>
  <c r="F21" i="60"/>
  <c r="J21" i="60"/>
  <c r="D297" i="15"/>
  <c r="F297" i="15" s="1"/>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6" i="15" s="1"/>
  <c r="AM288" i="18" l="1"/>
  <c r="AL287" i="18"/>
  <c r="D295" i="15"/>
  <c r="F295" i="15" s="1"/>
  <c r="AL286" i="18" l="1"/>
  <c r="AM28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3" i="15" s="1"/>
  <c r="P111" i="52"/>
  <c r="P110" i="52"/>
  <c r="P106" i="52"/>
  <c r="P104" i="52"/>
  <c r="P107" i="52"/>
  <c r="P105" i="52"/>
  <c r="P99" i="52"/>
  <c r="P109" i="52"/>
  <c r="P103" i="52"/>
  <c r="P102" i="52"/>
  <c r="P101" i="52"/>
  <c r="P100" i="52"/>
  <c r="AL284" i="18" l="1"/>
  <c r="AM285" i="18"/>
  <c r="D292" i="15"/>
  <c r="F292" i="15" s="1"/>
  <c r="R371" i="18"/>
  <c r="J90" i="52"/>
  <c r="J95" i="52"/>
  <c r="W267" i="18"/>
  <c r="AJ208" i="18"/>
  <c r="AM284" i="18" l="1"/>
  <c r="AL283" i="18"/>
  <c r="D291" i="15"/>
  <c r="F291" i="15" s="1"/>
  <c r="F51" i="14"/>
  <c r="F52" i="14"/>
  <c r="F53" i="14"/>
  <c r="F54" i="14"/>
  <c r="F55" i="14"/>
  <c r="F56" i="14"/>
  <c r="F57" i="14"/>
  <c r="F58" i="14"/>
  <c r="F59" i="14"/>
  <c r="F60" i="14"/>
  <c r="F61" i="14"/>
  <c r="AL282" i="18" l="1"/>
  <c r="AM283" i="18"/>
  <c r="D290" i="15"/>
  <c r="F290" i="15" s="1"/>
  <c r="N92" i="52"/>
  <c r="O92" i="52"/>
  <c r="N93" i="52"/>
  <c r="O93" i="52"/>
  <c r="N94" i="52"/>
  <c r="O94" i="52"/>
  <c r="N95" i="52"/>
  <c r="O95" i="52"/>
  <c r="N96" i="52"/>
  <c r="O96" i="52"/>
  <c r="N97" i="52"/>
  <c r="O97" i="52"/>
  <c r="J92" i="52"/>
  <c r="J93" i="52"/>
  <c r="J94" i="52"/>
  <c r="J96" i="52"/>
  <c r="O140" i="18"/>
  <c r="O139" i="18"/>
  <c r="O138" i="18"/>
  <c r="AM282" i="18" l="1"/>
  <c r="AL281" i="18"/>
  <c r="D289" i="15"/>
  <c r="F289" i="15" s="1"/>
  <c r="P97" i="52"/>
  <c r="P98" i="52"/>
  <c r="P95" i="52"/>
  <c r="P96" i="52"/>
  <c r="P94" i="52"/>
  <c r="P93" i="52"/>
  <c r="O142" i="18"/>
  <c r="N91" i="52"/>
  <c r="P92" i="52" s="1"/>
  <c r="AL280" i="18" l="1"/>
  <c r="AM281" i="18"/>
  <c r="D288" i="15"/>
  <c r="F288" i="15" s="1"/>
  <c r="R291" i="18"/>
  <c r="T354" i="18" s="1"/>
  <c r="W266" i="18"/>
  <c r="W265" i="18"/>
  <c r="W264" i="18"/>
  <c r="M48" i="52"/>
  <c r="M47" i="52"/>
  <c r="N38" i="52"/>
  <c r="N37" i="52"/>
  <c r="M49" i="52"/>
  <c r="N50" i="52" s="1"/>
  <c r="AM280" i="18" l="1"/>
  <c r="AL279" i="18"/>
  <c r="D287" i="15"/>
  <c r="F287" i="15" s="1"/>
  <c r="N49" i="52"/>
  <c r="W263" i="18"/>
  <c r="AM279" i="18" l="1"/>
  <c r="AL278" i="18"/>
  <c r="D286" i="15"/>
  <c r="F286" i="15" s="1"/>
  <c r="AL277" i="18" l="1"/>
  <c r="AM278" i="18"/>
  <c r="D285" i="15"/>
  <c r="F285" i="15" s="1"/>
  <c r="W262" i="18"/>
  <c r="AM277" i="18" l="1"/>
  <c r="AL276" i="18"/>
  <c r="D284" i="15"/>
  <c r="F284" i="15" s="1"/>
  <c r="O90" i="52"/>
  <c r="O91" i="52"/>
  <c r="J91" i="52"/>
  <c r="AL275" i="18" l="1"/>
  <c r="AM27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1" i="18"/>
  <c r="AM275" i="18" l="1"/>
  <c r="AL274" i="18"/>
  <c r="D282" i="15"/>
  <c r="F282" i="15" s="1"/>
  <c r="G32" i="57"/>
  <c r="H32" i="57"/>
  <c r="D32" i="57"/>
  <c r="I32" i="57" s="1"/>
  <c r="D345" i="20"/>
  <c r="W260" i="18"/>
  <c r="W259" i="18"/>
  <c r="AL273" i="18" l="1"/>
  <c r="AM274" i="18"/>
  <c r="D281" i="15"/>
  <c r="F281" i="15" s="1"/>
  <c r="W195" i="18"/>
  <c r="W19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D280" i="15"/>
  <c r="F280" i="15" s="1"/>
  <c r="C46" i="56"/>
  <c r="B46" i="56"/>
  <c r="AL271" i="18" l="1"/>
  <c r="AM271" i="18" s="1"/>
  <c r="AM272" i="18"/>
  <c r="D279" i="15"/>
  <c r="F279" i="15" s="1"/>
  <c r="O84" i="52"/>
  <c r="W258" i="18"/>
  <c r="D343" i="20"/>
  <c r="D278" i="15" l="1"/>
  <c r="F278" i="15" s="1"/>
  <c r="W257" i="18"/>
  <c r="D342" i="20"/>
  <c r="J83" i="52"/>
  <c r="O83" i="52"/>
  <c r="W256" i="18"/>
  <c r="W255" i="18"/>
  <c r="F44" i="14"/>
  <c r="F45" i="14"/>
  <c r="F46" i="14"/>
  <c r="F47" i="14"/>
  <c r="F48" i="14"/>
  <c r="F49" i="14"/>
  <c r="F50" i="14"/>
  <c r="D341" i="20"/>
  <c r="D277" i="15" l="1"/>
  <c r="F277" i="15" s="1"/>
  <c r="AJ349" i="18"/>
  <c r="D276" i="15" l="1"/>
  <c r="F276" i="15" s="1"/>
  <c r="W254" i="18"/>
  <c r="D340" i="20" l="1"/>
  <c r="W253" i="18"/>
  <c r="H337" i="20"/>
  <c r="H338" i="20"/>
  <c r="H339" i="20"/>
  <c r="H340" i="20"/>
  <c r="H341" i="20"/>
  <c r="H368" i="20"/>
  <c r="H369" i="20"/>
  <c r="D339" i="20"/>
  <c r="B371" i="20" l="1"/>
  <c r="D332" i="20"/>
  <c r="D333" i="20"/>
  <c r="D334" i="20"/>
  <c r="D335" i="20"/>
  <c r="D336" i="20"/>
  <c r="D337" i="20"/>
  <c r="D338" i="20"/>
  <c r="D369" i="20"/>
  <c r="W252" i="18" l="1"/>
  <c r="D80" i="57"/>
  <c r="AD46" i="52" l="1"/>
  <c r="AE46" i="52"/>
  <c r="G46" i="10"/>
  <c r="D331" i="20" l="1"/>
  <c r="D330" i="20" l="1"/>
  <c r="W251" i="18" l="1"/>
  <c r="W25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9" i="18" l="1"/>
  <c r="W248" i="18"/>
  <c r="Z40" i="52" l="1"/>
  <c r="Z39" i="52"/>
  <c r="Z38" i="52"/>
  <c r="AD38" i="52"/>
  <c r="AD39" i="52"/>
  <c r="AD40" i="52"/>
  <c r="AE40" i="52"/>
  <c r="AE39" i="52"/>
  <c r="AE38" i="52"/>
  <c r="R21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7" i="18"/>
  <c r="W246" i="18"/>
  <c r="L39" i="18"/>
  <c r="N36" i="52"/>
  <c r="N35" i="52"/>
  <c r="Q42" i="52"/>
  <c r="AD37" i="52"/>
  <c r="AD36" i="52"/>
  <c r="AD35" i="52"/>
  <c r="AD34" i="52"/>
  <c r="AD33" i="52"/>
  <c r="Z37" i="52"/>
  <c r="Z36" i="52"/>
  <c r="Z35" i="52"/>
  <c r="Z34" i="52"/>
  <c r="Z33" i="52"/>
  <c r="AE37" i="52"/>
  <c r="AE36" i="52"/>
  <c r="AE35" i="52"/>
  <c r="AE34" i="52"/>
  <c r="AE33" i="52"/>
  <c r="W245" i="18" l="1"/>
  <c r="W244"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3" i="18" l="1"/>
  <c r="W242" i="18"/>
  <c r="AD31" i="52"/>
  <c r="AD30" i="52"/>
  <c r="Z31" i="52"/>
  <c r="Z30" i="52"/>
  <c r="AE31" i="52"/>
  <c r="AE30" i="52"/>
  <c r="AD29" i="52"/>
  <c r="Z29" i="52"/>
  <c r="AE29" i="52"/>
  <c r="AD28" i="52"/>
  <c r="Z28" i="52"/>
  <c r="AE28" i="52"/>
  <c r="N32" i="52"/>
  <c r="N31" i="52"/>
  <c r="W241" i="18" l="1"/>
  <c r="W240" i="18"/>
  <c r="N30" i="52"/>
  <c r="N29" i="52"/>
  <c r="AD27" i="52"/>
  <c r="Z27" i="52"/>
  <c r="AE27" i="52"/>
  <c r="W239" i="18" l="1"/>
  <c r="W238" i="18"/>
  <c r="N28" i="52"/>
  <c r="N27" i="52"/>
  <c r="AD26" i="52" l="1"/>
  <c r="AE26" i="52"/>
  <c r="AL270" i="18" l="1"/>
  <c r="D313" i="20"/>
  <c r="AL269" i="18" l="1"/>
  <c r="AM270" i="18"/>
  <c r="L115" i="18"/>
  <c r="L112" i="18" s="1"/>
  <c r="N112" i="18" s="1"/>
  <c r="L111" i="18" l="1"/>
  <c r="M115" i="18"/>
  <c r="AM269" i="18"/>
  <c r="AL268" i="18"/>
  <c r="L107" i="18"/>
  <c r="W237" i="18"/>
  <c r="W236" i="18"/>
  <c r="N24" i="52"/>
  <c r="N26" i="52"/>
  <c r="N25" i="52"/>
  <c r="AL267" i="18" l="1"/>
  <c r="AM268" i="18"/>
  <c r="L10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35" i="18"/>
  <c r="W234" i="18"/>
  <c r="N23" i="52"/>
  <c r="N22" i="52"/>
  <c r="Z24" i="52"/>
  <c r="AD24" i="52"/>
  <c r="AE24" i="52"/>
  <c r="I368" i="20" l="1"/>
  <c r="G367" i="20"/>
  <c r="J368" i="20"/>
  <c r="K368" i="20"/>
  <c r="AL265" i="18"/>
  <c r="AM266" i="18"/>
  <c r="W233" i="18"/>
  <c r="W232"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31" i="18"/>
  <c r="W230"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10" i="18"/>
  <c r="F110" i="18" s="1"/>
  <c r="G107" i="18"/>
  <c r="F107" i="18" s="1"/>
  <c r="N26"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29" i="18"/>
  <c r="W228" i="18"/>
  <c r="AD17" i="52"/>
  <c r="Z17" i="52"/>
  <c r="AE17" i="52"/>
  <c r="AD16" i="52"/>
  <c r="Z16" i="52"/>
  <c r="AE16" i="52"/>
  <c r="N17" i="52"/>
  <c r="N16" i="52"/>
  <c r="AL170" i="18" l="1"/>
  <c r="AM171" i="18"/>
  <c r="I356" i="20"/>
  <c r="G355" i="20"/>
  <c r="J356" i="20"/>
  <c r="K356" i="20"/>
  <c r="L108" i="18"/>
  <c r="L110" i="18"/>
  <c r="AL169" i="18" l="1"/>
  <c r="AL168" i="18" s="1"/>
  <c r="AM170" i="18"/>
  <c r="J355" i="20"/>
  <c r="I355" i="20"/>
  <c r="G354" i="20"/>
  <c r="K355" i="20"/>
  <c r="W227" i="18"/>
  <c r="W226" i="18"/>
  <c r="D303" i="20"/>
  <c r="D302" i="20"/>
  <c r="W225"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3" i="18"/>
  <c r="AL163" i="18" l="1"/>
  <c r="AM164" i="18"/>
  <c r="I350" i="20"/>
  <c r="J350" i="20"/>
  <c r="K350" i="20"/>
  <c r="G349" i="20"/>
  <c r="AD14" i="52"/>
  <c r="AE14" i="52"/>
  <c r="AD13" i="52"/>
  <c r="AE13" i="52"/>
  <c r="Z14" i="52"/>
  <c r="D296" i="20"/>
  <c r="D295" i="20"/>
  <c r="AM163" i="18" l="1"/>
  <c r="AL162" i="18"/>
  <c r="K349" i="20"/>
  <c r="I349" i="20"/>
  <c r="J349" i="20"/>
  <c r="G348" i="20"/>
  <c r="W222" i="18"/>
  <c r="W221"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20" i="18"/>
  <c r="W219" i="18"/>
  <c r="AM161" i="18" l="1"/>
  <c r="AL160" i="18"/>
  <c r="G346" i="20"/>
  <c r="J347" i="20"/>
  <c r="I347" i="20"/>
  <c r="K347" i="20"/>
  <c r="D293" i="20"/>
  <c r="AL159" i="18" l="1"/>
  <c r="AM160" i="18"/>
  <c r="K346" i="20"/>
  <c r="G345" i="20"/>
  <c r="J346" i="20"/>
  <c r="I346" i="20"/>
  <c r="W218" i="18"/>
  <c r="AM159" i="18" l="1"/>
  <c r="AL158" i="18"/>
  <c r="K345" i="20"/>
  <c r="G344" i="20"/>
  <c r="J345" i="20"/>
  <c r="I345" i="20"/>
  <c r="D292" i="20"/>
  <c r="C8" i="36"/>
  <c r="W21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7"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2" i="18"/>
  <c r="W215" i="18"/>
  <c r="D278" i="20"/>
  <c r="D269" i="15" l="1"/>
  <c r="F270" i="15"/>
  <c r="AL140" i="18"/>
  <c r="AM141" i="18"/>
  <c r="J327" i="20"/>
  <c r="K327" i="20"/>
  <c r="G326" i="20"/>
  <c r="I327" i="20"/>
  <c r="W193"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19"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3" i="18"/>
  <c r="AM124" i="18" l="1"/>
  <c r="AL123" i="18"/>
  <c r="AM123" i="18" l="1"/>
  <c r="AL122" i="18"/>
  <c r="AL121" i="18" l="1"/>
  <c r="AM122" i="18"/>
  <c r="W207" i="18"/>
  <c r="W208" i="18"/>
  <c r="W209" i="18"/>
  <c r="W210" i="18"/>
  <c r="W211" i="18"/>
  <c r="W212" i="18"/>
  <c r="W224" i="18"/>
  <c r="W206" i="18"/>
  <c r="AM121" i="18" l="1"/>
  <c r="AL120" i="18"/>
  <c r="N54" i="18"/>
  <c r="AM120" i="18" l="1"/>
  <c r="AL119" i="18"/>
  <c r="AM119" i="18" l="1"/>
  <c r="AL118" i="18"/>
  <c r="T190" i="18"/>
  <c r="S78" i="18"/>
  <c r="S79" i="18" s="1"/>
  <c r="S80" i="18" s="1"/>
  <c r="R211" i="18"/>
  <c r="R209" i="18"/>
  <c r="D57" i="51"/>
  <c r="AL117" i="18" l="1"/>
  <c r="AM118" i="18"/>
  <c r="S81" i="18"/>
  <c r="S82" i="18" s="1"/>
  <c r="AM117" i="18" l="1"/>
  <c r="AL116" i="18"/>
  <c r="S83" i="18"/>
  <c r="S84" i="18" s="1"/>
  <c r="N34" i="18"/>
  <c r="Q110" i="18" l="1"/>
  <c r="R20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5" i="18" l="1"/>
  <c r="S86" i="18" s="1"/>
  <c r="AL113" i="18"/>
  <c r="AM114" i="18"/>
  <c r="S20" i="18"/>
  <c r="S21" i="18" s="1"/>
  <c r="S87" i="18" l="1"/>
  <c r="AL112" i="18"/>
  <c r="AM113" i="18"/>
  <c r="N48" i="18"/>
  <c r="M110" i="18" l="1"/>
  <c r="N110" i="18" s="1"/>
  <c r="S88" i="18"/>
  <c r="S89" i="18" s="1"/>
  <c r="AM112" i="18"/>
  <c r="AL111" i="18"/>
  <c r="D108" i="50"/>
  <c r="S90" i="18" l="1"/>
  <c r="AL110" i="18"/>
  <c r="AM111" i="18"/>
  <c r="S91" i="18" l="1"/>
  <c r="S92" i="18" s="1"/>
  <c r="AL109" i="18"/>
  <c r="AM110" i="18"/>
  <c r="S93" i="18" l="1"/>
  <c r="S94" i="18" s="1"/>
  <c r="S95" i="18" s="1"/>
  <c r="S96" i="18" s="1"/>
  <c r="S97" i="18" s="1"/>
  <c r="S98" i="18" s="1"/>
  <c r="S99" i="18" s="1"/>
  <c r="S100" i="18" s="1"/>
  <c r="S101" i="18" s="1"/>
  <c r="N109" i="18"/>
  <c r="AL108" i="18"/>
  <c r="AM109" i="18"/>
  <c r="N22" i="33"/>
  <c r="R22" i="33" s="1"/>
  <c r="S102" i="18" l="1"/>
  <c r="S103" i="18" s="1"/>
  <c r="S104" i="18" s="1"/>
  <c r="S105" i="18" s="1"/>
  <c r="S106" i="18" s="1"/>
  <c r="S107" i="18" s="1"/>
  <c r="S108" i="18" s="1"/>
  <c r="E22" i="33"/>
  <c r="AL107" i="18"/>
  <c r="AM108" i="18"/>
  <c r="C22" i="33"/>
  <c r="J22" i="33"/>
  <c r="F22" i="33"/>
  <c r="B22" i="33"/>
  <c r="I22" i="33"/>
  <c r="L22" i="33"/>
  <c r="H22" i="33"/>
  <c r="D22" i="33"/>
  <c r="K22" i="33"/>
  <c r="G22" i="33"/>
  <c r="AM107" i="18" l="1"/>
  <c r="AL106" i="18"/>
  <c r="AL105" i="18" l="1"/>
  <c r="AM106" i="18"/>
  <c r="N111" i="18" l="1"/>
  <c r="AL104" i="18"/>
  <c r="AM105" i="18"/>
  <c r="AL248" i="18"/>
  <c r="AM249" i="18"/>
  <c r="AL103" i="18" l="1"/>
  <c r="AM104" i="18"/>
  <c r="AL247" i="18"/>
  <c r="AM248" i="18"/>
  <c r="AL102" i="18" l="1"/>
  <c r="AM103" i="18"/>
  <c r="AL246" i="18"/>
  <c r="AM247" i="18"/>
  <c r="S22" i="18"/>
  <c r="S23" i="18" s="1"/>
  <c r="N79"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08"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3" i="18" l="1"/>
  <c r="R207" i="18"/>
  <c r="S40" i="18"/>
  <c r="S41" i="18" s="1"/>
  <c r="AJ353" i="18"/>
  <c r="AJ354" i="18" s="1"/>
  <c r="AM94" i="18"/>
  <c r="AL93" i="18"/>
  <c r="AL237" i="18"/>
  <c r="AM238" i="18"/>
  <c r="S42" i="18" l="1"/>
  <c r="AL92" i="18"/>
  <c r="AM93" i="18"/>
  <c r="AL236" i="18"/>
  <c r="AM237" i="18"/>
  <c r="S120" i="18"/>
  <c r="S121"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22" i="18"/>
  <c r="S123" i="18" s="1"/>
  <c r="S124" i="18" s="1"/>
  <c r="S54" i="18" l="1"/>
  <c r="S55" i="18" s="1"/>
  <c r="AL85" i="18"/>
  <c r="AM86" i="18"/>
  <c r="S125" i="18"/>
  <c r="S126" i="18" s="1"/>
  <c r="AL229" i="18"/>
  <c r="AM230" i="18"/>
  <c r="N25" i="33"/>
  <c r="N24" i="33"/>
  <c r="N21" i="33"/>
  <c r="N20" i="33"/>
  <c r="N19" i="33"/>
  <c r="N18" i="33"/>
  <c r="L18" i="33" s="1"/>
  <c r="N17" i="33"/>
  <c r="N9" i="33"/>
  <c r="N3" i="33"/>
  <c r="N4" i="33"/>
  <c r="S56" i="18" l="1"/>
  <c r="S57" i="18" s="1"/>
  <c r="S58" i="18" s="1"/>
  <c r="S59" i="18" s="1"/>
  <c r="S60" i="18" s="1"/>
  <c r="AL84" i="18"/>
  <c r="AM85" i="18"/>
  <c r="AM229" i="18"/>
  <c r="AL228" i="18"/>
  <c r="S127" i="18"/>
  <c r="S128" i="18" s="1"/>
  <c r="S12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28" i="18"/>
  <c r="AL227" i="18"/>
  <c r="AC15" i="33"/>
  <c r="S66" i="18" l="1"/>
  <c r="S67" i="18" s="1"/>
  <c r="S68" i="18" s="1"/>
  <c r="S69" i="18" s="1"/>
  <c r="S70" i="18" s="1"/>
  <c r="S71" i="18" s="1"/>
  <c r="AL82" i="18"/>
  <c r="AM83" i="18"/>
  <c r="AM227" i="18"/>
  <c r="AL226" i="18"/>
  <c r="N16" i="33"/>
  <c r="AL81" i="18" l="1"/>
  <c r="AM82" i="18"/>
  <c r="AM226" i="18"/>
  <c r="AL225" i="18"/>
  <c r="AM225" i="18" s="1"/>
  <c r="L16" i="33"/>
  <c r="J16" i="33"/>
  <c r="F16" i="33"/>
  <c r="C16" i="33"/>
  <c r="K16" i="33"/>
  <c r="G16" i="33"/>
  <c r="H16" i="33"/>
  <c r="D16" i="33"/>
  <c r="I16" i="33"/>
  <c r="E16" i="33"/>
  <c r="B16" i="33"/>
  <c r="R16" i="33"/>
  <c r="AM349" i="18" l="1"/>
  <c r="AN349" i="18" s="1"/>
  <c r="AJ3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55" i="18" l="1"/>
  <c r="AJ3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0" i="18" l="1"/>
  <c r="AL77" i="18"/>
  <c r="AM78" i="18"/>
  <c r="G307" i="20" l="1"/>
  <c r="K308" i="20"/>
  <c r="J308" i="20"/>
  <c r="I308" i="20"/>
  <c r="S131" i="18"/>
  <c r="AL76" i="18"/>
  <c r="AM77" i="18"/>
  <c r="S132" i="18" l="1"/>
  <c r="S133" i="18" s="1"/>
  <c r="G306" i="20"/>
  <c r="J307" i="20"/>
  <c r="I307" i="20"/>
  <c r="K307" i="20"/>
  <c r="AL75" i="18"/>
  <c r="AM76" i="18"/>
  <c r="N52" i="18"/>
  <c r="Q182" i="18" s="1"/>
  <c r="R206" i="18" l="1"/>
  <c r="S134" i="18"/>
  <c r="S135" i="18" s="1"/>
  <c r="S136" i="18" s="1"/>
  <c r="M107" i="18"/>
  <c r="N107" i="18" s="1"/>
  <c r="N115" i="18" s="1"/>
  <c r="AJ214" i="18"/>
  <c r="AJ215" i="18" s="1"/>
  <c r="G305" i="20"/>
  <c r="I306" i="20"/>
  <c r="K306" i="20"/>
  <c r="J306" i="20"/>
  <c r="AL74" i="18"/>
  <c r="AM75" i="18"/>
  <c r="R219" i="18" l="1"/>
  <c r="T341" i="18" s="1"/>
  <c r="V344" i="18" s="1"/>
  <c r="G304" i="20"/>
  <c r="I305" i="20"/>
  <c r="K305" i="20"/>
  <c r="J305" i="20"/>
  <c r="AL73" i="18"/>
  <c r="AM74" i="18"/>
  <c r="R114" i="18"/>
  <c r="V71" i="18" l="1"/>
  <c r="V180" i="18"/>
  <c r="V181" i="18"/>
  <c r="W71" i="18"/>
  <c r="X71" i="18"/>
  <c r="V70" i="18"/>
  <c r="W70" i="18" s="1"/>
  <c r="V69" i="18"/>
  <c r="W69" i="18" s="1"/>
  <c r="V68" i="18"/>
  <c r="W68" i="18" s="1"/>
  <c r="V108" i="18"/>
  <c r="V107" i="18"/>
  <c r="W107" i="18" s="1"/>
  <c r="V67" i="18"/>
  <c r="W67" i="18" s="1"/>
  <c r="V106" i="18"/>
  <c r="U354" i="18"/>
  <c r="V354" i="18" s="1"/>
  <c r="V105" i="18"/>
  <c r="X105" i="18" s="1"/>
  <c r="V65" i="18"/>
  <c r="V66" i="18"/>
  <c r="V64" i="18"/>
  <c r="X64" i="18" s="1"/>
  <c r="V63" i="18"/>
  <c r="X63" i="18" s="1"/>
  <c r="V104" i="18"/>
  <c r="V103" i="18"/>
  <c r="X103" i="18" s="1"/>
  <c r="V62" i="18"/>
  <c r="X62" i="18" s="1"/>
  <c r="V102" i="18"/>
  <c r="V61" i="18"/>
  <c r="V72" i="18"/>
  <c r="V101" i="18"/>
  <c r="V59" i="18"/>
  <c r="W59" i="18" s="1"/>
  <c r="V60" i="18"/>
  <c r="V58" i="18"/>
  <c r="V57" i="18"/>
  <c r="V56" i="18"/>
  <c r="W56" i="18" s="1"/>
  <c r="V55" i="18"/>
  <c r="V100" i="18"/>
  <c r="W100" i="18" s="1"/>
  <c r="V98" i="18"/>
  <c r="W98" i="18" s="1"/>
  <c r="V99" i="18"/>
  <c r="V53" i="18"/>
  <c r="W53" i="18" s="1"/>
  <c r="V54" i="18"/>
  <c r="V52" i="18"/>
  <c r="V51" i="18"/>
  <c r="V50" i="18"/>
  <c r="V49" i="18"/>
  <c r="V48" i="18"/>
  <c r="W48" i="18" s="1"/>
  <c r="V47" i="18"/>
  <c r="W47" i="18" s="1"/>
  <c r="V97" i="18"/>
  <c r="V96" i="18"/>
  <c r="V95" i="18"/>
  <c r="X95" i="18" s="1"/>
  <c r="V46" i="18"/>
  <c r="V94" i="18"/>
  <c r="W94" i="18" s="1"/>
  <c r="V45" i="18"/>
  <c r="V93" i="18"/>
  <c r="V44" i="18"/>
  <c r="W44" i="18" s="1"/>
  <c r="V92" i="18"/>
  <c r="V91" i="18"/>
  <c r="W91" i="18" s="1"/>
  <c r="V43" i="18"/>
  <c r="V42" i="18"/>
  <c r="X42" i="18" s="1"/>
  <c r="V90" i="18"/>
  <c r="S195" i="18"/>
  <c r="V40" i="18"/>
  <c r="W40" i="18" s="1"/>
  <c r="V41" i="18"/>
  <c r="V89" i="18"/>
  <c r="W89" i="18" s="1"/>
  <c r="V39" i="18"/>
  <c r="V118" i="18"/>
  <c r="V88" i="18"/>
  <c r="V87" i="18"/>
  <c r="V86" i="18"/>
  <c r="W86" i="18" s="1"/>
  <c r="V38" i="18"/>
  <c r="V37" i="18"/>
  <c r="V36" i="18"/>
  <c r="S137" i="18"/>
  <c r="V35" i="18"/>
  <c r="V34" i="18"/>
  <c r="W34" i="18" s="1"/>
  <c r="V85" i="18"/>
  <c r="V84" i="18"/>
  <c r="V33" i="18"/>
  <c r="V32" i="18"/>
  <c r="V31" i="18"/>
  <c r="V29" i="18"/>
  <c r="W29" i="18" s="1"/>
  <c r="V30" i="18"/>
  <c r="V28" i="18"/>
  <c r="X28" i="18" s="1"/>
  <c r="G303" i="20"/>
  <c r="K304" i="20"/>
  <c r="I304" i="20"/>
  <c r="J304" i="20"/>
  <c r="V27" i="18"/>
  <c r="W27" i="18" s="1"/>
  <c r="V135" i="18"/>
  <c r="V134" i="18"/>
  <c r="V26" i="18"/>
  <c r="W26" i="18" s="1"/>
  <c r="V83" i="18"/>
  <c r="V132" i="18"/>
  <c r="W132" i="18" s="1"/>
  <c r="V133" i="18"/>
  <c r="V130" i="18"/>
  <c r="W130" i="18" s="1"/>
  <c r="V131" i="18"/>
  <c r="V129" i="18"/>
  <c r="W129" i="18" s="1"/>
  <c r="V25" i="18"/>
  <c r="V24" i="18"/>
  <c r="W24" i="18" s="1"/>
  <c r="V82" i="18"/>
  <c r="V23" i="18"/>
  <c r="X23" i="18" s="1"/>
  <c r="V81" i="18"/>
  <c r="V109" i="18"/>
  <c r="V80" i="18"/>
  <c r="V128" i="18"/>
  <c r="V79" i="18"/>
  <c r="V127" i="18"/>
  <c r="V22" i="18"/>
  <c r="V126" i="18"/>
  <c r="V21" i="18"/>
  <c r="V125" i="18"/>
  <c r="V124" i="18"/>
  <c r="V123" i="18"/>
  <c r="V121" i="18"/>
  <c r="V122" i="18"/>
  <c r="V20" i="18"/>
  <c r="V119" i="18"/>
  <c r="V120" i="18"/>
  <c r="AL72" i="18"/>
  <c r="AM73" i="18"/>
  <c r="X181" i="18" l="1"/>
  <c r="W181" i="18"/>
  <c r="X180" i="18"/>
  <c r="W180" i="18"/>
  <c r="X70" i="18"/>
  <c r="X69" i="18"/>
  <c r="X68" i="18"/>
  <c r="W108" i="18"/>
  <c r="X108" i="18"/>
  <c r="X107" i="18"/>
  <c r="X67" i="18"/>
  <c r="W106" i="18"/>
  <c r="X106" i="18"/>
  <c r="W105" i="18"/>
  <c r="W64" i="18"/>
  <c r="W66" i="18"/>
  <c r="X66" i="18"/>
  <c r="X65" i="18"/>
  <c r="W65" i="18"/>
  <c r="W63" i="18"/>
  <c r="W104" i="18"/>
  <c r="X104" i="18"/>
  <c r="W103" i="18"/>
  <c r="W62" i="18"/>
  <c r="W102" i="18"/>
  <c r="X102" i="18"/>
  <c r="W72" i="18"/>
  <c r="X72" i="18"/>
  <c r="W61" i="18"/>
  <c r="X61" i="18"/>
  <c r="W101" i="18"/>
  <c r="X101" i="18"/>
  <c r="X59" i="18"/>
  <c r="W60" i="18"/>
  <c r="X60" i="18"/>
  <c r="W57" i="18"/>
  <c r="X57" i="18"/>
  <c r="W58" i="18"/>
  <c r="X58" i="18"/>
  <c r="X56" i="18"/>
  <c r="W55" i="18"/>
  <c r="X55" i="18"/>
  <c r="X100" i="18"/>
  <c r="X98" i="18"/>
  <c r="W99" i="18"/>
  <c r="X99" i="18"/>
  <c r="X53" i="18"/>
  <c r="W54" i="18"/>
  <c r="X54" i="18"/>
  <c r="W51" i="18"/>
  <c r="X51" i="18"/>
  <c r="W52" i="18"/>
  <c r="X52" i="18"/>
  <c r="W50" i="18"/>
  <c r="X50" i="18"/>
  <c r="W49" i="18"/>
  <c r="X49" i="18"/>
  <c r="U195" i="18"/>
  <c r="V195" i="18" s="1"/>
  <c r="X48" i="18"/>
  <c r="X47" i="18"/>
  <c r="W97" i="18"/>
  <c r="X97" i="18"/>
  <c r="W96" i="18"/>
  <c r="X96" i="18"/>
  <c r="W95" i="18"/>
  <c r="X46" i="18"/>
  <c r="W46" i="18"/>
  <c r="X94" i="18"/>
  <c r="X45" i="18"/>
  <c r="W45" i="18"/>
  <c r="W93" i="18"/>
  <c r="X93" i="18"/>
  <c r="X44" i="18"/>
  <c r="X92" i="18"/>
  <c r="W92" i="18"/>
  <c r="X91" i="18"/>
  <c r="X43" i="18"/>
  <c r="W43" i="18"/>
  <c r="W42" i="18"/>
  <c r="W90" i="18"/>
  <c r="X90" i="18"/>
  <c r="X40" i="18"/>
  <c r="W41" i="18"/>
  <c r="X41" i="18"/>
  <c r="X89" i="18"/>
  <c r="W39" i="18"/>
  <c r="X39" i="18"/>
  <c r="W88" i="18"/>
  <c r="X88" i="18"/>
  <c r="W87" i="18"/>
  <c r="X87" i="18"/>
  <c r="X86" i="18"/>
  <c r="W38" i="18"/>
  <c r="X38" i="18"/>
  <c r="W37" i="18"/>
  <c r="X37" i="18"/>
  <c r="X36" i="18"/>
  <c r="W36" i="18"/>
  <c r="V136" i="18"/>
  <c r="X136" i="18" s="1"/>
  <c r="W35" i="18"/>
  <c r="X35" i="18"/>
  <c r="X34" i="18"/>
  <c r="W85" i="18"/>
  <c r="X85" i="18"/>
  <c r="W84" i="18"/>
  <c r="X84" i="18"/>
  <c r="X33" i="18"/>
  <c r="W33" i="18"/>
  <c r="X32" i="18"/>
  <c r="W32" i="18"/>
  <c r="W31" i="18"/>
  <c r="X31" i="18"/>
  <c r="X29" i="18"/>
  <c r="W30" i="18"/>
  <c r="X30" i="18"/>
  <c r="W28" i="18"/>
  <c r="S194" i="18"/>
  <c r="R203" i="18" s="1"/>
  <c r="G302" i="20"/>
  <c r="K303" i="20"/>
  <c r="I303" i="20"/>
  <c r="J303" i="20"/>
  <c r="X27" i="18"/>
  <c r="X135" i="18"/>
  <c r="W135" i="18"/>
  <c r="W134" i="18"/>
  <c r="X134" i="18"/>
  <c r="X26" i="18"/>
  <c r="W83" i="18"/>
  <c r="X83" i="18"/>
  <c r="X132" i="18"/>
  <c r="W133" i="18"/>
  <c r="X133" i="18"/>
  <c r="X130" i="18"/>
  <c r="W131" i="18"/>
  <c r="X131" i="18"/>
  <c r="X129" i="18"/>
  <c r="W25" i="18"/>
  <c r="X25" i="18"/>
  <c r="X24" i="18"/>
  <c r="W82" i="18"/>
  <c r="X82" i="18"/>
  <c r="W23" i="18"/>
  <c r="W81" i="18"/>
  <c r="X81" i="18"/>
  <c r="W80" i="18"/>
  <c r="X80" i="18"/>
  <c r="W109" i="18"/>
  <c r="X109" i="18"/>
  <c r="S193" i="18"/>
  <c r="S192" i="18"/>
  <c r="R202" i="18" s="1"/>
  <c r="W128" i="18"/>
  <c r="X128" i="18"/>
  <c r="X79" i="18"/>
  <c r="W79" i="18"/>
  <c r="W126" i="18"/>
  <c r="X126" i="18"/>
  <c r="W120" i="18"/>
  <c r="X120" i="18"/>
  <c r="W124" i="18"/>
  <c r="X124" i="18"/>
  <c r="W22" i="18"/>
  <c r="X22" i="18"/>
  <c r="W20" i="18"/>
  <c r="X20" i="18"/>
  <c r="W122" i="18"/>
  <c r="X122" i="18"/>
  <c r="X127" i="18"/>
  <c r="W127" i="18"/>
  <c r="W119" i="18"/>
  <c r="X119" i="18"/>
  <c r="W118" i="18"/>
  <c r="X118" i="18"/>
  <c r="W123" i="18"/>
  <c r="X123" i="18"/>
  <c r="W121" i="18"/>
  <c r="X121" i="18"/>
  <c r="W125" i="18"/>
  <c r="X125" i="18"/>
  <c r="W21" i="18"/>
  <c r="X21" i="18"/>
  <c r="AL71" i="18"/>
  <c r="AM72" i="18"/>
  <c r="U192" i="18" l="1"/>
  <c r="W136" i="18"/>
  <c r="U194" i="18"/>
  <c r="V194" i="18" s="1"/>
  <c r="N37" i="18"/>
  <c r="L21" i="18" s="1"/>
  <c r="U193" i="18"/>
  <c r="V193" i="18" s="1"/>
  <c r="N6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7" i="18" l="1"/>
  <c r="S138" i="18"/>
  <c r="G298" i="20"/>
  <c r="K299" i="20"/>
  <c r="I299" i="20"/>
  <c r="J299" i="20"/>
  <c r="AL67" i="18"/>
  <c r="AM68" i="18"/>
  <c r="I2" i="33"/>
  <c r="E2" i="33"/>
  <c r="J2" i="33"/>
  <c r="F2" i="33"/>
  <c r="K2" i="33"/>
  <c r="G2" i="33"/>
  <c r="D2" i="33"/>
  <c r="C2" i="33"/>
  <c r="H2" i="33"/>
  <c r="D73" i="45"/>
  <c r="V138" i="18" l="1"/>
  <c r="S139" i="18"/>
  <c r="S140" i="18" s="1"/>
  <c r="S141" i="18" s="1"/>
  <c r="W137" i="18"/>
  <c r="X137" i="18"/>
  <c r="G297" i="20"/>
  <c r="K298" i="20"/>
  <c r="I298" i="20"/>
  <c r="J298" i="20"/>
  <c r="AL66" i="18"/>
  <c r="AM67" i="18"/>
  <c r="F33" i="14"/>
  <c r="F34" i="14"/>
  <c r="F35" i="14"/>
  <c r="F36" i="14"/>
  <c r="F37" i="14"/>
  <c r="F38" i="14"/>
  <c r="F39" i="14"/>
  <c r="F40" i="14"/>
  <c r="F41" i="14"/>
  <c r="F42" i="14"/>
  <c r="F43" i="14"/>
  <c r="E62" i="14"/>
  <c r="E61" i="14" s="1"/>
  <c r="B63" i="14"/>
  <c r="V139" i="18" l="1"/>
  <c r="X138" i="18"/>
  <c r="W138" i="18"/>
  <c r="G61" i="14"/>
  <c r="E60" i="14"/>
  <c r="I297" i="20"/>
  <c r="K297" i="20"/>
  <c r="J297" i="20"/>
  <c r="G296" i="20"/>
  <c r="AL65" i="18"/>
  <c r="AM66" i="18"/>
  <c r="W139" i="18" l="1"/>
  <c r="X13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0" i="18"/>
  <c r="W140" i="18" s="1"/>
  <c r="J266" i="20"/>
  <c r="G265" i="20"/>
  <c r="K266" i="20"/>
  <c r="I266" i="20"/>
  <c r="AL34" i="18"/>
  <c r="AM35" i="18"/>
  <c r="E240" i="15"/>
  <c r="E239" i="15"/>
  <c r="X140" i="18" l="1"/>
  <c r="G29" i="14"/>
  <c r="E28" i="14"/>
  <c r="K265" i="20"/>
  <c r="G264" i="20"/>
  <c r="J265" i="20"/>
  <c r="I265" i="20"/>
  <c r="D259" i="15"/>
  <c r="F259" i="15" s="1"/>
  <c r="AL33" i="18"/>
  <c r="AM34" i="18"/>
  <c r="E27" i="14" l="1"/>
  <c r="G28" i="14"/>
  <c r="G263" i="20"/>
  <c r="K264" i="20"/>
  <c r="J264" i="20"/>
  <c r="I264" i="20"/>
  <c r="D258" i="15"/>
  <c r="F258" i="15" s="1"/>
  <c r="AL32" i="18"/>
  <c r="AM33" i="18"/>
  <c r="S142" i="18" l="1"/>
  <c r="S143" i="18" s="1"/>
  <c r="S144" i="18" s="1"/>
  <c r="S145" i="18" s="1"/>
  <c r="S146" i="18" s="1"/>
  <c r="E26" i="14"/>
  <c r="G27" i="14"/>
  <c r="I263" i="20"/>
  <c r="K263" i="20"/>
  <c r="G262" i="20"/>
  <c r="J263" i="20"/>
  <c r="D257" i="15"/>
  <c r="F257" i="15" s="1"/>
  <c r="AL31" i="18"/>
  <c r="AM32" i="18"/>
  <c r="K61" i="32"/>
  <c r="U61" i="32" s="1"/>
  <c r="K60" i="32"/>
  <c r="U60" i="32" s="1"/>
  <c r="K49" i="32"/>
  <c r="U49" i="32" s="1"/>
  <c r="K48" i="32"/>
  <c r="U48" i="32" s="1"/>
  <c r="K46" i="32"/>
  <c r="I60" i="32"/>
  <c r="I48" i="32"/>
  <c r="S70" i="32"/>
  <c r="V145" i="18" l="1"/>
  <c r="W145" i="18" s="1"/>
  <c r="V141" i="18"/>
  <c r="X141" i="18" s="1"/>
  <c r="E25" i="14"/>
  <c r="G26" i="14"/>
  <c r="G261" i="20"/>
  <c r="I262" i="20"/>
  <c r="J262" i="20"/>
  <c r="K262" i="20"/>
  <c r="D256" i="15"/>
  <c r="F256" i="15" s="1"/>
  <c r="AL30" i="18"/>
  <c r="AM31" i="18"/>
  <c r="L60" i="32"/>
  <c r="L48" i="32"/>
  <c r="X145" i="18" l="1"/>
  <c r="S147" i="18"/>
  <c r="W141" i="18"/>
  <c r="E24" i="14"/>
  <c r="G25" i="14"/>
  <c r="J261" i="20"/>
  <c r="I261" i="20"/>
  <c r="K261" i="20"/>
  <c r="G260" i="20"/>
  <c r="D255" i="15"/>
  <c r="F255" i="15" s="1"/>
  <c r="AL29" i="18"/>
  <c r="AM30" i="18"/>
  <c r="V146" i="18" l="1"/>
  <c r="X146"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6"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47" i="18" l="1"/>
  <c r="W147" i="18" s="1"/>
  <c r="S148" i="18"/>
  <c r="V142" i="18"/>
  <c r="W142"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48" i="18" l="1"/>
  <c r="W148" i="18" s="1"/>
  <c r="S149" i="18"/>
  <c r="X147" i="18"/>
  <c r="X142"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9" i="18" l="1"/>
  <c r="W149" i="18" s="1"/>
  <c r="S150" i="18"/>
  <c r="X148" i="18"/>
  <c r="G255" i="20"/>
  <c r="I256" i="20"/>
  <c r="J256" i="20"/>
  <c r="K256" i="20"/>
  <c r="D250" i="15"/>
  <c r="F250" i="15" s="1"/>
  <c r="AL24" i="18"/>
  <c r="AM25" i="18"/>
  <c r="E178" i="13"/>
  <c r="G179" i="13"/>
  <c r="X149" i="18" l="1"/>
  <c r="V150" i="18"/>
  <c r="W150" i="18" s="1"/>
  <c r="S151" i="18"/>
  <c r="S152" i="18" s="1"/>
  <c r="V143" i="18"/>
  <c r="X143" i="18" s="1"/>
  <c r="G254" i="20"/>
  <c r="J255" i="20"/>
  <c r="I255" i="20"/>
  <c r="K255" i="20"/>
  <c r="D249" i="15"/>
  <c r="F249" i="15" s="1"/>
  <c r="AM24" i="18"/>
  <c r="AL23" i="18"/>
  <c r="E177" i="13"/>
  <c r="G178" i="13"/>
  <c r="V151" i="18" l="1"/>
  <c r="X151" i="18" s="1"/>
  <c r="X150" i="18"/>
  <c r="W143" i="18"/>
  <c r="K254" i="20"/>
  <c r="I254" i="20"/>
  <c r="G253" i="20"/>
  <c r="J254" i="20"/>
  <c r="D248" i="15"/>
  <c r="AM23" i="18"/>
  <c r="AL22" i="18"/>
  <c r="E176" i="13"/>
  <c r="G177" i="13"/>
  <c r="D165" i="20"/>
  <c r="W151" i="18" l="1"/>
  <c r="G252" i="20"/>
  <c r="J253" i="20"/>
  <c r="K253" i="20"/>
  <c r="I253" i="20"/>
  <c r="D247" i="15"/>
  <c r="F248" i="15"/>
  <c r="AL21" i="18"/>
  <c r="AL20" i="18" s="1"/>
  <c r="AM22" i="18"/>
  <c r="E175" i="13"/>
  <c r="G176" i="13"/>
  <c r="D164" i="20"/>
  <c r="V152" i="18" l="1"/>
  <c r="W152" i="18" s="1"/>
  <c r="S15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383" i="41"/>
  <c r="N641" i="41"/>
  <c r="N1231"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2" i="18"/>
  <c r="V153" i="18"/>
  <c r="W153" i="18" s="1"/>
  <c r="S154" i="18"/>
  <c r="L997" i="41"/>
  <c r="N997" i="41" s="1"/>
  <c r="L837" i="41"/>
  <c r="N837" i="41" s="1"/>
  <c r="L757" i="41"/>
  <c r="N757" i="41" s="1"/>
  <c r="L517" i="41"/>
  <c r="L1317" i="41"/>
  <c r="N1317" i="41" s="1"/>
  <c r="L917" i="4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L987" i="41"/>
  <c r="N987" i="41" s="1"/>
  <c r="L667" i="41"/>
  <c r="N667" i="41" s="1"/>
  <c r="L347" i="41"/>
  <c r="N347" i="41" s="1"/>
  <c r="N162"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54" i="18" l="1"/>
  <c r="W154" i="18" s="1"/>
  <c r="S155" i="18"/>
  <c r="S156" i="18" s="1"/>
  <c r="S157" i="18" s="1"/>
  <c r="X153" i="18"/>
  <c r="X144" i="18"/>
  <c r="W144" i="18"/>
  <c r="U2123" i="41"/>
  <c r="V2123" i="41" s="1"/>
  <c r="X2123" i="41" s="1"/>
  <c r="G249" i="20"/>
  <c r="J250" i="20"/>
  <c r="K250" i="20"/>
  <c r="I250" i="20"/>
  <c r="F245" i="15"/>
  <c r="D244" i="15"/>
  <c r="AN208" i="18"/>
  <c r="AJ213" i="18" s="1"/>
  <c r="E172" i="13"/>
  <c r="G173" i="13"/>
  <c r="D62" i="38"/>
  <c r="V155" i="18" l="1"/>
  <c r="X155" i="18" s="1"/>
  <c r="X154" i="18"/>
  <c r="AJ217" i="18"/>
  <c r="J249" i="20"/>
  <c r="I249" i="20"/>
  <c r="K249" i="20"/>
  <c r="G248" i="20"/>
  <c r="F244" i="15"/>
  <c r="D243" i="15"/>
  <c r="AJ216" i="18"/>
  <c r="E171" i="13"/>
  <c r="G172" i="13"/>
  <c r="W15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6" i="18" l="1"/>
  <c r="W15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8" i="18" l="1"/>
  <c r="G235" i="20"/>
  <c r="J236" i="20"/>
  <c r="I236" i="20"/>
  <c r="K236" i="20"/>
  <c r="F231" i="15"/>
  <c r="D230" i="15"/>
  <c r="E158" i="13"/>
  <c r="G159" i="13"/>
  <c r="D154" i="20"/>
  <c r="D153" i="20"/>
  <c r="V157" i="18" l="1"/>
  <c r="X15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7" i="18" l="1"/>
  <c r="I234" i="20"/>
  <c r="K234" i="20"/>
  <c r="J234" i="20"/>
  <c r="G233" i="20"/>
  <c r="F229" i="15"/>
  <c r="D228" i="15"/>
  <c r="E156" i="13"/>
  <c r="G157" i="13"/>
  <c r="V158" i="18" l="1"/>
  <c r="X158" i="18" s="1"/>
  <c r="S15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9" i="18" l="1"/>
  <c r="W159" i="18" s="1"/>
  <c r="S160" i="18"/>
  <c r="W158" i="18"/>
  <c r="G231" i="20"/>
  <c r="I232" i="20"/>
  <c r="J232" i="20"/>
  <c r="K232" i="20"/>
  <c r="F227" i="15"/>
  <c r="D226" i="15"/>
  <c r="E154" i="13"/>
  <c r="G155" i="13"/>
  <c r="I46" i="32"/>
  <c r="V160" i="18" l="1"/>
  <c r="W160" i="18" s="1"/>
  <c r="S161" i="18"/>
  <c r="S162" i="18" s="1"/>
  <c r="X15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0" i="18" l="1"/>
  <c r="V161" i="18"/>
  <c r="W161"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3" i="18" l="1"/>
  <c r="S164" i="18" s="1"/>
  <c r="X161" i="18"/>
  <c r="G228" i="20"/>
  <c r="J229" i="20"/>
  <c r="K229" i="20"/>
  <c r="I229" i="20"/>
  <c r="E151" i="13"/>
  <c r="G152" i="13"/>
  <c r="K228" i="20" l="1"/>
  <c r="G227" i="20"/>
  <c r="I228" i="20"/>
  <c r="J228" i="20"/>
  <c r="E150" i="13"/>
  <c r="G151" i="13"/>
  <c r="V162" i="18" l="1"/>
  <c r="W162" i="18" s="1"/>
  <c r="J227" i="20"/>
  <c r="G226" i="20"/>
  <c r="I227" i="20"/>
  <c r="K227" i="20"/>
  <c r="E149" i="13"/>
  <c r="G150" i="13"/>
  <c r="Z32" i="32"/>
  <c r="M45" i="32"/>
  <c r="R45" i="32" s="1"/>
  <c r="X162"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5" i="18" l="1"/>
  <c r="V163" i="18"/>
  <c r="W163"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3"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4" i="18" l="1"/>
  <c r="I220" i="20"/>
  <c r="K220" i="20"/>
  <c r="G219" i="20"/>
  <c r="J220" i="20"/>
  <c r="E142" i="13"/>
  <c r="G143" i="13"/>
  <c r="S166" i="18" l="1"/>
  <c r="S167" i="18" s="1"/>
  <c r="W164" i="18"/>
  <c r="X164" i="18"/>
  <c r="I219" i="20"/>
  <c r="J219" i="20"/>
  <c r="G218" i="20"/>
  <c r="K219" i="20"/>
  <c r="E141" i="13"/>
  <c r="G142" i="13"/>
  <c r="V165" i="18" l="1"/>
  <c r="K218" i="20"/>
  <c r="G217" i="20"/>
  <c r="I218" i="20"/>
  <c r="J218" i="20"/>
  <c r="E140" i="13"/>
  <c r="G141" i="13"/>
  <c r="W165" i="18" l="1"/>
  <c r="X165" i="18"/>
  <c r="K217" i="20"/>
  <c r="J217" i="20"/>
  <c r="I217" i="20"/>
  <c r="G216" i="20"/>
  <c r="E139" i="13"/>
  <c r="G140" i="13"/>
  <c r="N34" i="33"/>
  <c r="V166" i="18" l="1"/>
  <c r="K216" i="20"/>
  <c r="I216" i="20"/>
  <c r="G215" i="20"/>
  <c r="J216" i="20"/>
  <c r="B34" i="33"/>
  <c r="J34" i="33"/>
  <c r="F34" i="33"/>
  <c r="K34" i="33"/>
  <c r="G34" i="33"/>
  <c r="H34" i="33"/>
  <c r="D34" i="33"/>
  <c r="C34" i="33"/>
  <c r="I34" i="33"/>
  <c r="E34" i="33"/>
  <c r="E138" i="13"/>
  <c r="G139" i="13"/>
  <c r="K43" i="32"/>
  <c r="U43" i="32" s="1"/>
  <c r="M43" i="32"/>
  <c r="V167" i="18" l="1"/>
  <c r="X167" i="18" s="1"/>
  <c r="S168" i="18"/>
  <c r="W166" i="18"/>
  <c r="X166" i="18"/>
  <c r="R43" i="32"/>
  <c r="S43" i="32"/>
  <c r="K215" i="20"/>
  <c r="I215" i="20"/>
  <c r="J215" i="20"/>
  <c r="G214" i="20"/>
  <c r="E137" i="13"/>
  <c r="G138" i="13"/>
  <c r="Q43" i="32"/>
  <c r="W167" i="18" l="1"/>
  <c r="V168" i="18"/>
  <c r="W168" i="18" s="1"/>
  <c r="S169" i="18"/>
  <c r="I214" i="20"/>
  <c r="J214" i="20"/>
  <c r="G213" i="20"/>
  <c r="K214" i="20"/>
  <c r="E136" i="13"/>
  <c r="G137" i="13"/>
  <c r="I42" i="32"/>
  <c r="K41" i="32"/>
  <c r="M41" i="32"/>
  <c r="S41" i="32" s="1"/>
  <c r="M29" i="32"/>
  <c r="K29" i="32"/>
  <c r="X168" i="18" l="1"/>
  <c r="S170" i="18"/>
  <c r="S171" i="18" s="1"/>
  <c r="V169" i="18"/>
  <c r="R29" i="32"/>
  <c r="S29" i="32"/>
  <c r="K213" i="20"/>
  <c r="J213" i="20"/>
  <c r="I213" i="20"/>
  <c r="G212" i="20"/>
  <c r="E135" i="13"/>
  <c r="G136" i="13"/>
  <c r="Q29" i="32"/>
  <c r="W169" i="18" l="1"/>
  <c r="X169" i="18"/>
  <c r="V170" i="18"/>
  <c r="I212" i="20"/>
  <c r="K212" i="20"/>
  <c r="G211" i="20"/>
  <c r="J212" i="20"/>
  <c r="E134" i="13"/>
  <c r="G135" i="13"/>
  <c r="U29" i="32"/>
  <c r="U62" i="32"/>
  <c r="U63" i="32"/>
  <c r="U64" i="32"/>
  <c r="U65" i="32"/>
  <c r="U66" i="32"/>
  <c r="U67" i="32"/>
  <c r="U68" i="32"/>
  <c r="AC28" i="33"/>
  <c r="W170" i="18" l="1"/>
  <c r="X170" i="18"/>
  <c r="K211" i="20"/>
  <c r="J211" i="20"/>
  <c r="I211" i="20"/>
  <c r="G210" i="20"/>
  <c r="E133" i="13"/>
  <c r="G134" i="13"/>
  <c r="AE24" i="33"/>
  <c r="S172" i="18" l="1"/>
  <c r="S173" i="18" s="1"/>
  <c r="I210" i="20"/>
  <c r="J210" i="20"/>
  <c r="K210" i="20"/>
  <c r="G209" i="20"/>
  <c r="E132" i="13"/>
  <c r="G133" i="13"/>
  <c r="L34" i="33"/>
  <c r="U34" i="33"/>
  <c r="I40" i="32"/>
  <c r="P38" i="33"/>
  <c r="P35" i="33"/>
  <c r="P33" i="33"/>
  <c r="P26" i="33"/>
  <c r="P36" i="33"/>
  <c r="P28" i="33"/>
  <c r="P29" i="33"/>
  <c r="P30" i="33"/>
  <c r="P31" i="33"/>
  <c r="P32" i="33"/>
  <c r="P27" i="33"/>
  <c r="V171" i="18" l="1"/>
  <c r="W171"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1"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V172" i="18" l="1"/>
  <c r="W172" i="18" s="1"/>
  <c r="I207" i="20"/>
  <c r="J207" i="20"/>
  <c r="G206" i="20"/>
  <c r="K207" i="20"/>
  <c r="E129" i="13"/>
  <c r="G130" i="13"/>
  <c r="X172" i="18" l="1"/>
  <c r="G205" i="20"/>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V173" i="18" l="1"/>
  <c r="W173" i="18" s="1"/>
  <c r="S174" i="18"/>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6" i="18" l="1"/>
  <c r="X173" i="18"/>
  <c r="V174" i="18"/>
  <c r="R70" i="32"/>
  <c r="AC15" i="32" s="1"/>
  <c r="AC16" i="32" s="1"/>
  <c r="J204" i="20"/>
  <c r="G203" i="20"/>
  <c r="K204" i="20"/>
  <c r="I204" i="20"/>
  <c r="E126" i="13"/>
  <c r="G127" i="13"/>
  <c r="K28" i="32"/>
  <c r="V175" i="18" l="1"/>
  <c r="X175" i="18" s="1"/>
  <c r="W174" i="18"/>
  <c r="X174"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5"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6" i="18" l="1"/>
  <c r="W176" i="18" s="1"/>
  <c r="S177"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6" i="18" l="1"/>
  <c r="V177" i="18"/>
  <c r="W177" i="18" s="1"/>
  <c r="S178"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77" i="18" l="1"/>
  <c r="V178" i="18"/>
  <c r="S179" i="18"/>
  <c r="V179" i="18" s="1"/>
  <c r="G196" i="13"/>
  <c r="G199" i="13" s="1"/>
  <c r="J199" i="20"/>
  <c r="G198" i="20"/>
  <c r="K199" i="20"/>
  <c r="I199" i="20"/>
  <c r="G102" i="13"/>
  <c r="G103" i="13"/>
  <c r="U14" i="32"/>
  <c r="L14" i="32" s="1"/>
  <c r="Q9" i="32"/>
  <c r="R9" i="32"/>
  <c r="Y5" i="33"/>
  <c r="W179" i="18" l="1"/>
  <c r="X179" i="18"/>
  <c r="W178" i="18"/>
  <c r="X178"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<sst xmlns="http://schemas.openxmlformats.org/spreadsheetml/2006/main" count="12767" uniqueCount="5361">
  <si>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</si>
  <si>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</si>
  <si>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</si>
  <si>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</si>
  <si>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</si>
  <si>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</si>
  <si>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</si>
  <si>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</si>
  <si>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</si>
  <si>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</si>
  <si>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</si>
  <si>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</si>
  <si>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</si>
  <si>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</si>
  <si>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</si>
  <si>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</si>
  <si>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</si>
  <si>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</si>
  <si>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</si>
  <si>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</si>
  <si>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</si>
  <si>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</si>
  <si>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</si>
  <si>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</si>
  <si>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</si>
  <si>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</si>
  <si>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</si>
  <si>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</si>
  <si>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</si>
  <si>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</si>
  <si>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</si>
  <si>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</si>
  <si>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</si>
  <si>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</si>
  <si>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</si>
  <si>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</si>
  <si>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</si>
  <si>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</si>
  <si>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</si>
  <si>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</si>
  <si>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</si>
  <si>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</si>
  <si>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</si>
  <si>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</si>
  <si>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</si>
  <si>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</si>
  <si>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</si>
  <si>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</si>
  <si>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</si>
  <si>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</si>
  <si>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</si>
  <si>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</si>
  <si>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</si>
  <si>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</si>
  <si>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</si>
  <si>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</si>
  <si>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</si>
  <si>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</si>
  <si>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</si>
  <si>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</si>
  <si>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</si>
  <si>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</si>
  <si>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</si>
  <si>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</si>
  <si>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</si>
  <si>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</si>
  <si>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</si>
  <si>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</si>
  <si>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</si>
  <si>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</si>
  <si>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</si>
  <si>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</si>
  <si>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</si>
  <si>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</si>
  <si>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</si>
  <si>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</si>
  <si>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</si>
  <si>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</si>
  <si>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</si>
  <si>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</si>
  <si>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</si>
  <si>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</si>
  <si>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</si>
  <si>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</si>
  <si>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</si>
  <si>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</si>
  <si>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</si>
  <si>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</si>
  <si>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</si>
  <si>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</si>
  <si>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</si>
  <si>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</si>
  <si>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</si>
  <si>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</si>
  <si>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</si>
  <si>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</si>
  <si>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</si>
  <si>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</si>
  <si>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</si>
  <si>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</si>
  <si>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</si>
  <si>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</si>
  <si>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</si>
  <si>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</si>
  <si>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</si>
  <si>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</si>
  <si>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</si>
  <si>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</si>
  <si>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</si>
  <si>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</si>
  <si>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</si>
  <si>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</si>
  <si>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</si>
  <si>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</si>
  <si>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</si>
  <si>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</si>
  <si>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</si>
  <si>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</si>
  <si>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</si>
  <si>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</si>
  <si>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</si>
  <si>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</si>
  <si>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</si>
  <si>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</si>
  <si>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</si>
  <si>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</si>
  <si>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</si>
  <si>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</si>
  <si>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</si>
  <si>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</si>
  <si>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</si>
  <si>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</si>
  <si>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</si>
  <si>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</si>
  <si>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</si>
  <si>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</si>
  <si>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</si>
  <si>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</si>
  <si>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</si>
  <si>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</si>
  <si>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</si>
  <si>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</si>
  <si>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</si>
  <si>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</si>
  <si>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</si>
  <si>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</si>
  <si>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</si>
  <si>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</si>
  <si>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</si>
  <si>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</si>
  <si>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</si>
  <si>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</si>
  <si>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</si>
  <si>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</si>
  <si>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</si>
  <si>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</si>
  <si>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</si>
  <si>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</si>
  <si>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</si>
  <si>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</si>
  <si>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</si>
  <si>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</si>
  <si>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</si>
  <si>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</si>
  <si>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</si>
  <si>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</si>
  <si>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</si>
  <si>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</si>
  <si>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</si>
  <si>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</si>
  <si>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</si>
  <si>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</si>
  <si>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</si>
  <si>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</si>
  <si>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</si>
  <si>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</si>
  <si>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</si>
  <si>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</si>
  <si>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</si>
  <si>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</si>
  <si>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</si>
  <si>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</si>
  <si>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</si>
  <si>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</si>
  <si>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</si>
  <si>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</si>
  <si>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</si>
  <si>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</si>
  <si>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</si>
  <si>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</si>
  <si>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</si>
  <si>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</si>
  <si>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</si>
  <si>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</si>
  <si>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</si>
  <si>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</si>
  <si>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</si>
  <si>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</si>
  <si>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</si>
  <si>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</si>
  <si>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</si>
  <si>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</si>
  <si>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</si>
  <si>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</si>
  <si>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</si>
  <si>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</si>
  <si>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</si>
  <si>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</si>
  <si>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</si>
  <si>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</si>
  <si>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</si>
  <si>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</si>
  <si>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</si>
  <si>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</si>
  <si>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</si>
  <si>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</si>
  <si>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</si>
  <si>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</si>
  <si>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</si>
  <si>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</si>
  <si>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</si>
  <si>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</si>
  <si>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</si>
  <si>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</si>
  <si>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</si>
  <si>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</si>
  <si>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</si>
  <si>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</si>
  <si>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</si>
  <si>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</si>
  <si>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</si>
  <si>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</si>
  <si>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</si>
  <si>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</si>
  <si>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</si>
  <si>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</si>
  <si>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</si>
  <si>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</si>
  <si>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</si>
  <si>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</si>
  <si>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</si>
  <si>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</si>
  <si>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</si>
  <si>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</si>
  <si>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</si>
  <si>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</si>
  <si>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</si>
  <si>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</si>
  <si>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</si>
  <si>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</si>
  <si>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</si>
  <si>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</si>
  <si>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</si>
  <si>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</si>
  <si>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</si>
  <si>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</si>
  <si>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</si>
  <si>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</si>
  <si>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</si>
  <si>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</si>
  <si>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</si>
  <si>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</si>
  <si>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</si>
  <si>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</si>
  <si>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</si>
  <si>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</si>
  <si>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</si>
  <si>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</si>
  <si>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</si>
  <si>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</si>
  <si>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</si>
  <si>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</si>
  <si>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</si>
  <si>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</si>
  <si>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</si>
  <si>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</si>
  <si>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</si>
  <si>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</si>
  <si>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</si>
  <si>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</si>
  <si>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</si>
  <si>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</si>
  <si>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</si>
  <si>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</si>
  <si>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</si>
  <si>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</si>
  <si>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</si>
  <si>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</si>
  <si>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</si>
  <si>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</si>
  <si>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</si>
  <si>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</si>
  <si>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</si>
  <si>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</si>
  <si>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</si>
  <si>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</si>
  <si>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</si>
  <si>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</si>
  <si>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</si>
  <si>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</si>
  <si>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</si>
  <si>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</si>
  <si>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</si>
  <si>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</si>
  <si>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</si>
  <si>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</si>
  <si>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</si>
  <si>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</si>
  <si>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</si>
  <si>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</si>
  <si>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</si>
  <si>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</si>
  <si>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</si>
  <si>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</si>
  <si>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</si>
  <si>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</si>
  <si>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</si>
  <si>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</si>
  <si>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</si>
  <si>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</si>
  <si>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</si>
  <si>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</si>
  <si>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</si>
  <si>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</si>
  <si>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</si>
  <si>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</si>
  <si>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</si>
  <si>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</si>
  <si>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</si>
  <si>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</si>
  <si>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</si>
  <si>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</si>
  <si>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</si>
  <si>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</si>
  <si>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</si>
  <si>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</si>
  <si>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</si>
  <si>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</si>
  <si>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</si>
  <si>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</si>
  <si>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</si>
  <si>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</si>
  <si>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</si>
  <si>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</si>
  <si>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</si>
  <si>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</si>
  <si>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</si>
  <si>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</si>
  <si>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</si>
  <si>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</si>
  <si>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</si>
  <si>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</si>
  <si>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</si>
  <si>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</si>
  <si>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</si>
  <si>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</si>
  <si>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</si>
  <si>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</si>
  <si>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</si>
  <si>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</si>
  <si>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</si>
  <si>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</si>
  <si>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</si>
  <si>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</si>
  <si>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</si>
  <si>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</si>
  <si>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</si>
  <si>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</si>
  <si>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</si>
  <si>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</si>
  <si>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</si>
  <si>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</si>
  <si>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</si>
  <si>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</si>
  <si>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</si>
  <si>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</si>
  <si>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</si>
  <si>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</si>
  <si>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</si>
  <si>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</si>
  <si>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</si>
  <si>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</si>
  <si>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</si>
  <si>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</si>
  <si>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</si>
  <si>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</si>
  <si>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</si>
  <si>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</si>
  <si>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</si>
  <si>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</si>
  <si>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</si>
  <si>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</si>
  <si>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</si>
  <si>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</si>
  <si>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</si>
  <si>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</si>
  <si>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</si>
  <si>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</si>
  <si>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</si>
  <si>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</si>
  <si>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</si>
  <si>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</si>
  <si>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</si>
  <si>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</si>
  <si>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</si>
  <si>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</si>
  <si>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</si>
  <si>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</si>
  <si>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</si>
  <si>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</si>
  <si>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</si>
  <si>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</si>
  <si>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</si>
  <si>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</si>
  <si>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</si>
  <si>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</si>
  <si>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</si>
  <si>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</si>
  <si>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</si>
  <si>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</si>
  <si>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</si>
  <si>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</si>
  <si>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</si>
  <si>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</si>
  <si>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</si>
  <si>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</si>
  <si>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</si>
  <si>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</si>
  <si>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</si>
  <si>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</si>
  <si>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</si>
  <si>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</si>
  <si>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</si>
  <si>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</si>
  <si>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</si>
  <si>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</si>
  <si>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</si>
  <si>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</si>
  <si>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</si>
  <si>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</si>
  <si>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</si>
  <si>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</si>
  <si>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</si>
  <si>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</si>
  <si>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</si>
  <si>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</si>
  <si>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</si>
  <si>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</si>
  <si>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</si>
  <si>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</si>
  <si>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</si>
  <si>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</si>
  <si>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</si>
  <si>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</si>
  <si>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</si>
  <si>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</si>
  <si>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</si>
  <si>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</si>
  <si>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</si>
  <si>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</si>
  <si>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</si>
  <si>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</si>
  <si>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</si>
  <si>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</si>
  <si>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</si>
  <si>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</si>
  <si>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</si>
  <si>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</si>
  <si>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</si>
  <si>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</si>
  <si>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</si>
  <si>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</si>
  <si>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</si>
  <si>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</si>
  <si>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</si>
  <si>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</si>
  <si>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</si>
  <si>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</si>
  <si>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</si>
  <si>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</si>
  <si>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</si>
  <si>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</si>
  <si>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</si>
  <si>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</si>
  <si>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</si>
  <si>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</si>
  <si>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</si>
  <si>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</si>
  <si>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</si>
  <si>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</si>
  <si>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</si>
  <si>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</si>
  <si>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</si>
  <si>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</si>
  <si>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</si>
  <si>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</si>
  <si>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</si>
  <si>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</si>
  <si>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</si>
  <si>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</si>
  <si>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</si>
  <si>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</si>
  <si>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</si>
  <si>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</si>
  <si>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</si>
  <si>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</si>
  <si>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</si>
  <si>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</si>
  <si>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</si>
  <si>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</si>
  <si>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</si>
  <si>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</si>
  <si>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</si>
  <si>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</si>
  <si>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</si>
  <si>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</si>
  <si>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</si>
  <si>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</si>
  <si>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</si>
  <si>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</si>
  <si>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</si>
  <si>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</si>
  <si>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</si>
  <si>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</si>
  <si>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</si>
  <si>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</si>
  <si>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</si>
  <si>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</si>
  <si>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</si>
  <si>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</si>
  <si>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</si>
  <si>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</si>
  <si>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</si>
  <si>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</si>
  <si>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</si>
  <si>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</si>
  <si>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</si>
  <si>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</si>
  <si>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</si>
  <si>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</si>
  <si>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</si>
  <si>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</si>
  <si>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</si>
  <si>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</si>
  <si>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</si>
  <si>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</si>
  <si>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</si>
  <si>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</si>
  <si>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</si>
  <si>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</si>
  <si>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</si>
  <si>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</si>
  <si>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</si>
  <si>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</si>
  <si>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</si>
  <si>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</si>
  <si>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</si>
  <si>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</si>
  <si>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</si>
  <si>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</si>
  <si>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</si>
  <si>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</si>
  <si>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</si>
  <si>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</si>
  <si>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</si>
  <si>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</si>
  <si>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</si>
  <si>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</si>
  <si>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</si>
  <si>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</si>
  <si>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</si>
  <si>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</si>
  <si>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</si>
  <si>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</si>
  <si>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</si>
  <si>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</si>
  <si>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</si>
  <si>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</si>
  <si>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</si>
  <si>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</si>
  <si>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</si>
  <si>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</si>
  <si>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</si>
  <si>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</si>
  <si>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</si>
  <si>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</si>
  <si>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</si>
  <si>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</si>
  <si>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</si>
  <si>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</si>
  <si>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</si>
  <si>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</si>
  <si>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</si>
  <si>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</si>
  <si>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</si>
  <si>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</si>
  <si>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</si>
  <si>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</si>
  <si>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</si>
  <si>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</si>
  <si>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</si>
  <si>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</si>
  <si>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</si>
  <si>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</si>
  <si>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</si>
  <si>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</si>
  <si>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</si>
  <si>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</si>
  <si>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</si>
  <si>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</si>
  <si>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</si>
  <si>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</si>
  <si>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</si>
  <si>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</si>
  <si>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</si>
  <si>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</si>
  <si>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</si>
  <si>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</si>
  <si>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</si>
  <si>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</si>
  <si>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</si>
  <si>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</si>
  <si>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</si>
  <si>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</si>
  <si>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</si>
  <si>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</si>
  <si>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</si>
  <si>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</si>
  <si>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</si>
  <si>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</si>
  <si>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</si>
  <si>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</si>
  <si>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</si>
  <si>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</si>
  <si>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</si>
  <si>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</si>
  <si>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</si>
  <si>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</si>
  <si>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</si>
  <si>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</si>
  <si>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</si>
  <si>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</si>
  <si>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</si>
  <si>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</si>
  <si>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</si>
  <si>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</si>
  <si>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</si>
  <si>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</si>
  <si>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</si>
  <si>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</si>
  <si>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</si>
  <si>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</si>
  <si>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</si>
  <si>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</si>
  <si>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</si>
  <si>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</si>
  <si>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</si>
  <si>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</si>
  <si>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</si>
  <si>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</si>
  <si>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</si>
  <si>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</si>
  <si>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</si>
  <si>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</si>
  <si>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</si>
  <si>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</si>
  <si>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</si>
  <si>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</si>
  <si>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</si>
  <si>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</si>
  <si>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</si>
  <si>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</si>
  <si>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</si>
  <si>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</si>
  <si>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</si>
  <si>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</si>
  <si>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</si>
  <si>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</si>
  <si>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</si>
  <si>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</si>
  <si>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</si>
  <si>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</si>
  <si>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</si>
  <si>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</si>
  <si>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</si>
  <si>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</si>
  <si>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</si>
  <si>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</si>
  <si>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</si>
  <si>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</si>
  <si>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</si>
  <si>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</si>
  <si>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</si>
  <si>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</si>
  <si>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</si>
  <si>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</si>
  <si>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</si>
  <si>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</si>
  <si>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</si>
  <si>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</si>
  <si>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</si>
  <si>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</si>
  <si>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</si>
  <si>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</si>
  <si>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</si>
  <si>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</si>
  <si>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</si>
  <si>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</si>
  <si>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</si>
  <si>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</si>
  <si>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</si>
  <si>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</si>
  <si>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</si>
  <si>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</si>
  <si>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</si>
  <si>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</si>
  <si>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</si>
  <si>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</si>
  <si>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</si>
  <si>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</si>
  <si>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</si>
  <si>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</si>
  <si>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</si>
  <si>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</si>
  <si>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</si>
  <si>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</si>
  <si>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</si>
  <si>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</si>
  <si>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</si>
  <si>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</si>
  <si>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</si>
  <si>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</si>
  <si>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</si>
  <si>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</si>
  <si>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</si>
  <si>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</si>
  <si>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</si>
  <si>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</si>
  <si>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</si>
  <si>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</si>
  <si>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</si>
  <si>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</si>
  <si>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</si>
  <si>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</si>
  <si>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</si>
  <si>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</si>
  <si>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</si>
  <si>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</si>
  <si>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</si>
  <si>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</si>
  <si>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</si>
  <si>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</si>
  <si>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</si>
  <si>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</si>
  <si>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</si>
  <si>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</si>
  <si>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</si>
  <si>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</si>
  <si>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</si>
  <si>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</si>
  <si>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</si>
  <si>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</si>
  <si>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</si>
  <si>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</si>
  <si>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</si>
  <si>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</si>
  <si>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</si>
  <si>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</si>
  <si>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</si>
  <si>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</si>
  <si>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</si>
  <si>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</si>
  <si>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</si>
  <si>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</si>
  <si>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</si>
  <si>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</si>
  <si>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</si>
  <si>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</si>
  <si>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</si>
  <si>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</si>
  <si>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</si>
  <si>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</si>
  <si>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</si>
  <si>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</si>
  <si>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</si>
  <si>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</si>
  <si>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</si>
  <si>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</si>
  <si>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</si>
  <si>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</si>
  <si>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</si>
  <si>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</si>
  <si>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</si>
  <si>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</si>
  <si>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</si>
  <si>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</si>
  <si>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</si>
  <si>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</si>
  <si>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</si>
  <si>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</si>
  <si>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</si>
  <si>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</si>
  <si>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</si>
  <si>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</si>
  <si>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</si>
  <si>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</si>
  <si>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</si>
  <si>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</si>
  <si>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</si>
  <si>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</si>
  <si>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</si>
  <si>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</si>
  <si>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</si>
  <si>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</si>
  <si>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</si>
  <si>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</si>
  <si>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</si>
  <si>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</si>
  <si>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</si>
  <si>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</si>
  <si>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</si>
  <si>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</si>
  <si>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</si>
  <si>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</si>
  <si>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</si>
  <si>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</si>
  <si>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</si>
  <si>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</si>
  <si>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</si>
  <si>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</si>
  <si>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</si>
  <si>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</si>
  <si>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</si>
  <si>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</si>
  <si>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</si>
  <si>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</si>
  <si>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</si>
  <si>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</si>
  <si>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</si>
  <si>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</si>
  <si>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</si>
  <si>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</si>
  <si>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</si>
  <si>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</si>
  <si>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</si>
  <si>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</si>
  <si>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</si>
  <si>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</si>
  <si>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</si>
  <si>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</si>
  <si>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</si>
  <si>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</si>
  <si>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</si>
  <si>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</si>
  <si>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</si>
  <si>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</si>
  <si>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</si>
  <si>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</si>
  <si>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</si>
  <si>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</si>
  <si>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</si>
  <si>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</si>
  <si>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</si>
  <si>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</si>
  <si>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</si>
  <si>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</si>
  <si>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</si>
  <si>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</si>
  <si>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</si>
  <si>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</si>
  <si>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</si>
  <si>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</si>
  <si>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</si>
  <si>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</si>
  <si>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</si>
  <si>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</si>
  <si>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</si>
  <si>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</si>
  <si>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</si>
  <si>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</si>
  <si>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</si>
  <si>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</si>
  <si>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</si>
  <si>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</si>
  <si>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</si>
  <si>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</si>
  <si>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</si>
  <si>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</si>
  <si>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</si>
  <si>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</si>
  <si>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</si>
  <si>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</si>
  <si>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</si>
  <si>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</si>
  <si>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</si>
  <si>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</si>
  <si>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</si>
  <si>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</si>
  <si>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</si>
  <si>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</si>
  <si>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</si>
  <si>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</si>
  <si>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</si>
  <si>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</si>
  <si>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</si>
  <si>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</si>
  <si>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</si>
  <si>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</si>
  <si>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</si>
  <si>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</si>
  <si>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</si>
  <si>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</si>
  <si>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</si>
  <si>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</si>
  <si>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</si>
  <si>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</si>
  <si>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</si>
  <si>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</si>
  <si>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</si>
  <si>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</si>
  <si>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</si>
  <si>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</si>
  <si>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</si>
  <si>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</si>
  <si>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</si>
  <si>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</si>
  <si>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</si>
  <si>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</si>
  <si>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</si>
  <si>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</si>
  <si>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</si>
  <si>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</si>
  <si>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</si>
  <si>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</si>
  <si>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</si>
  <si>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</si>
  <si>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</si>
  <si>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</si>
  <si>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</si>
  <si>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</si>
  <si>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</si>
  <si>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</si>
  <si>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</si>
  <si>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</si>
  <si>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</si>
  <si>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</si>
  <si>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</si>
  <si>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</si>
  <si>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</si>
  <si>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</si>
  <si>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</si>
  <si>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</si>
  <si>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</si>
  <si>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</si>
  <si>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</si>
  <si>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</si>
  <si>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</si>
  <si>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</si>
  <si>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</si>
  <si>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</si>
  <si>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</si>
  <si>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</si>
  <si>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</si>
  <si>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</si>
  <si>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</si>
  <si>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</si>
  <si>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</si>
  <si>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</si>
  <si>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</si>
  <si>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</si>
  <si>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</si>
  <si>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</si>
  <si>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</si>
  <si>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</si>
  <si>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</si>
  <si>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</si>
  <si>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</si>
  <si>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</si>
  <si>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</si>
  <si>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</si>
  <si>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</si>
  <si>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</si>
  <si>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</si>
  <si>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</si>
  <si>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</si>
  <si>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</si>
  <si>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</si>
  <si>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</si>
  <si>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</si>
  <si>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</si>
  <si>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</si>
  <si>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</si>
  <si>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</si>
  <si>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</si>
  <si>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</si>
  <si>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</si>
  <si>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</si>
  <si>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</si>
  <si>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</si>
  <si>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</si>
  <si>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</si>
  <si>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</si>
  <si>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</si>
  <si>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</si>
  <si>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</si>
  <si>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</si>
  <si>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</si>
  <si>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</si>
  <si>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</si>
  <si>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</si>
  <si>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</si>
  <si>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</si>
  <si>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</si>
  <si>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</si>
  <si>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</si>
  <si>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</si>
  <si>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</si>
  <si>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</si>
  <si>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</si>
  <si>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</si>
  <si>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</si>
  <si>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</si>
  <si>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</si>
  <si>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</si>
  <si>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</si>
  <si>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</si>
  <si>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</si>
  <si>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</si>
  <si>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</si>
  <si>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</si>
  <si>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</si>
  <si>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</si>
  <si>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</si>
  <si>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</si>
  <si>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</si>
  <si>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</si>
  <si>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</si>
  <si>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</si>
  <si>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</si>
  <si>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</si>
  <si>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</si>
  <si>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</si>
  <si>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</si>
  <si>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</si>
  <si>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</si>
  <si>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</si>
  <si>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</si>
  <si>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</si>
  <si>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</si>
  <si>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</si>
  <si>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</si>
  <si>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</si>
  <si>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</si>
  <si>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</si>
  <si>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</si>
  <si>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</si>
  <si>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</si>
  <si>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</si>
  <si>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</si>
  <si>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</si>
  <si>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</si>
  <si>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</si>
  <si>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</si>
  <si>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</si>
  <si>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</si>
  <si>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</si>
  <si>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</si>
  <si>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</si>
  <si>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</si>
  <si>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</si>
  <si>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</si>
  <si>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</si>
  <si>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</si>
  <si>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</si>
  <si>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</si>
  <si>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</si>
  <si>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</si>
  <si>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</si>
  <si>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</si>
  <si>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</si>
  <si>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</si>
  <si>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</si>
  <si>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</si>
  <si>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</si>
  <si>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</si>
  <si>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</si>
  <si>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</si>
  <si>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</si>
  <si>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</si>
  <si>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</si>
  <si>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</si>
  <si>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</si>
  <si>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</si>
  <si>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</si>
  <si>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</si>
  <si>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</si>
  <si>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</si>
  <si>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</si>
  <si>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</si>
  <si>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</si>
  <si>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</si>
  <si>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</si>
  <si>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</si>
  <si>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</si>
  <si>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</si>
  <si>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</si>
  <si>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</si>
  <si>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</si>
  <si>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</si>
  <si>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</si>
  <si>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</si>
  <si>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</si>
  <si>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</si>
  <si>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</si>
  <si>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</si>
  <si>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</si>
  <si>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</si>
  <si>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</si>
  <si>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</si>
  <si>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</si>
  <si>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</si>
  <si>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</si>
  <si>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</si>
  <si>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</si>
  <si>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</si>
  <si>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</si>
  <si>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</si>
  <si>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</si>
  <si>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</si>
  <si>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</si>
  <si>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</si>
  <si>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</si>
  <si>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</si>
  <si>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</si>
  <si>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</si>
  <si>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</si>
  <si>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</si>
  <si>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</si>
  <si>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</si>
  <si>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</si>
  <si>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</si>
  <si>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</si>
  <si>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</si>
  <si>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</si>
  <si>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</si>
  <si>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</si>
  <si>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</si>
  <si>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</si>
  <si>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</si>
  <si>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</si>
  <si>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</si>
  <si>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</si>
  <si>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</si>
  <si>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</si>
  <si>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</si>
  <si>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</si>
  <si>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</si>
  <si>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</si>
  <si>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</si>
  <si>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</si>
  <si>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</si>
  <si>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</si>
  <si>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</si>
  <si>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</si>
  <si>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</si>
  <si>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</si>
  <si>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</si>
  <si>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</si>
  <si>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</si>
  <si>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</si>
  <si>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</si>
  <si>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</si>
  <si>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</si>
  <si>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</si>
  <si>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</si>
  <si>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</si>
  <si>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</si>
  <si>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</si>
  <si>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</si>
  <si>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</si>
  <si>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</si>
  <si>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</si>
  <si>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</si>
  <si>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</si>
  <si>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</si>
  <si>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</si>
  <si>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</si>
  <si>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</si>
  <si>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</si>
  <si>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</si>
  <si>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</si>
  <si>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</si>
  <si>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</si>
  <si>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</si>
  <si>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</si>
  <si>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</si>
  <si>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</si>
  <si>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</si>
  <si>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</si>
  <si>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</si>
  <si>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</si>
  <si>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</si>
  <si>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</si>
  <si>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</si>
  <si>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</si>
  <si>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</si>
  <si>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</si>
  <si>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</si>
  <si>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</si>
  <si>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</si>
  <si>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</si>
  <si>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</si>
  <si>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</si>
  <si>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</si>
  <si>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</si>
  <si>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</si>
  <si>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</si>
  <si>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</si>
  <si>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</si>
  <si>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</si>
  <si>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</si>
  <si>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</si>
  <si>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</si>
  <si>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</si>
  <si>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</si>
  <si>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</si>
  <si>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</si>
  <si>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</si>
  <si>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</si>
  <si>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</si>
  <si>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</si>
  <si>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</si>
  <si>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</si>
  <si>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</si>
  <si>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</si>
  <si>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</si>
  <si>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</si>
  <si>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</si>
  <si>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</si>
  <si>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</si>
  <si>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</si>
  <si>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</si>
  <si>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</si>
  <si>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</si>
  <si>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</si>
  <si>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</si>
  <si>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</si>
  <si>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</si>
  <si>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</si>
  <si>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</si>
  <si>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</si>
  <si>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</si>
  <si>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</si>
  <si>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</si>
  <si>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</si>
  <si>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</si>
  <si>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</si>
  <si>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</si>
  <si>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</si>
  <si>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</si>
  <si>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</si>
  <si>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</si>
  <si>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</si>
  <si>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</si>
  <si>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</si>
  <si>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</si>
  <si>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</si>
  <si>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</si>
  <si>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</si>
  <si>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</si>
  <si>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</si>
  <si>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</si>
  <si>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</si>
  <si>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</si>
  <si>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</si>
  <si>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</si>
  <si>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</si>
  <si>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</si>
  <si>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</si>
  <si>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</si>
  <si>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</si>
  <si>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</si>
  <si>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</si>
  <si>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</si>
  <si>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</si>
  <si>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</si>
  <si>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</si>
  <si>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</si>
  <si>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</si>
  <si>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</si>
  <si>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</si>
  <si>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</si>
  <si>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</si>
  <si>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</si>
  <si>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</si>
  <si>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</si>
  <si>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</si>
  <si>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</si>
  <si>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</si>
  <si>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</si>
  <si>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</si>
  <si>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</si>
  <si>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</si>
  <si>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</si>
  <si>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</si>
  <si>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</si>
  <si>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</si>
  <si>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</si>
  <si>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</si>
  <si>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</si>
  <si>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</si>
  <si>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</si>
  <si>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</si>
  <si>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</si>
  <si>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</si>
  <si>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</si>
  <si>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</si>
  <si>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</si>
  <si>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</si>
  <si>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</si>
  <si>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</si>
  <si>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</si>
  <si>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</si>
  <si>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</si>
  <si>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</si>
  <si>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</si>
  <si>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</si>
  <si>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</si>
  <si>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</si>
  <si>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</si>
  <si>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</si>
  <si>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</si>
  <si>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</si>
  <si>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</si>
  <si>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</si>
  <si>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</si>
  <si>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</si>
  <si>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</si>
  <si>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</si>
  <si>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</si>
  <si>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</si>
  <si>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</si>
  <si>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</si>
  <si>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</si>
  <si>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</si>
  <si>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</si>
  <si>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</si>
  <si>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</si>
  <si>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</si>
  <si>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</si>
  <si>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</si>
  <si>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</si>
  <si>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</si>
  <si>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</si>
  <si>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</si>
  <si>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</si>
  <si>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</si>
  <si>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</si>
  <si>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</si>
  <si>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</si>
  <si>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</si>
  <si>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</si>
  <si>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</si>
  <si>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</si>
  <si>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</si>
  <si>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</si>
  <si>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</si>
  <si>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</si>
  <si>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</si>
  <si>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</si>
  <si>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</si>
  <si>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</si>
  <si>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</si>
  <si>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</si>
  <si>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</si>
  <si>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</si>
  <si>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</si>
  <si>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</si>
  <si>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</si>
  <si>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</si>
  <si>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</si>
  <si>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</si>
  <si>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</si>
  <si>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</si>
  <si>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</si>
  <si>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</si>
  <si>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</si>
  <si>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</si>
  <si>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</si>
  <si>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</si>
  <si>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</si>
  <si>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</si>
  <si>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</si>
  <si>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</si>
  <si>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</si>
  <si>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</si>
  <si>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</si>
  <si>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</si>
  <si>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</si>
  <si>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</si>
  <si>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</si>
  <si>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</si>
  <si>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</si>
  <si>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</si>
  <si>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</si>
  <si>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</si>
  <si>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</si>
  <si>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</si>
  <si>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</si>
  <si>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</si>
  <si>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</si>
  <si>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</si>
  <si>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</si>
  <si>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</si>
  <si>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</si>
  <si>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</si>
  <si>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</si>
  <si>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</si>
  <si>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</si>
  <si>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</si>
  <si>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</si>
  <si>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</si>
  <si>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</si>
  <si>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</si>
  <si>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</si>
  <si>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</si>
  <si>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</si>
  <si>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</si>
  <si>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</si>
  <si>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</si>
  <si>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</si>
  <si>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</si>
  <si>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</si>
  <si>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</si>
  <si>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</si>
  <si>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</si>
  <si>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</si>
  <si>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</si>
  <si>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</si>
  <si>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</si>
  <si>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</si>
  <si>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</si>
  <si>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</si>
  <si>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</si>
  <si>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</si>
  <si>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</si>
  <si>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</si>
  <si>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</si>
  <si>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</si>
  <si>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</si>
  <si>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</si>
  <si>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</si>
  <si>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</si>
  <si>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</si>
  <si>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</si>
  <si>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</si>
  <si>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</si>
  <si>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</si>
  <si>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</si>
  <si>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</si>
  <si>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</si>
  <si>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</si>
  <si>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</si>
  <si>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</si>
  <si>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</si>
  <si>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</si>
  <si>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</si>
  <si>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</si>
  <si>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</si>
  <si>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</si>
  <si>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</si>
  <si>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</si>
  <si>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</si>
  <si>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</si>
  <si>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</si>
  <si>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</si>
  <si>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</si>
  <si>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</si>
  <si>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</si>
  <si>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</si>
  <si>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</si>
  <si>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</si>
  <si>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</si>
  <si>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</si>
  <si>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</si>
  <si>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</si>
  <si>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</si>
  <si>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</si>
  <si>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</si>
  <si>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</si>
  <si>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</si>
  <si>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</si>
  <si>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</si>
  <si>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</si>
  <si>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</si>
  <si>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</si>
  <si>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</si>
  <si>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</si>
  <si>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</si>
  <si>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</si>
  <si>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</si>
  <si>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</si>
  <si>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</si>
  <si>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</si>
  <si>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</si>
  <si>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</si>
  <si>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</si>
  <si>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</si>
  <si>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</si>
  <si>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</si>
  <si>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</si>
  <si>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</si>
  <si>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</si>
  <si>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</si>
  <si>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</si>
  <si>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</si>
  <si>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</si>
  <si>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</si>
  <si>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</si>
  <si>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</si>
  <si>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</si>
  <si>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</si>
  <si>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</si>
  <si>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</si>
  <si>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</si>
  <si>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</si>
  <si>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</si>
  <si>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</si>
  <si>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</si>
  <si>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</si>
  <si>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</si>
  <si>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</si>
  <si>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</si>
  <si>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</si>
  <si>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</si>
  <si>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</si>
  <si>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</si>
  <si>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</si>
  <si>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</si>
  <si>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</si>
  <si>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</si>
  <si>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</si>
  <si>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</si>
  <si>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</si>
  <si>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</si>
  <si>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</si>
  <si>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</si>
  <si>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</si>
  <si>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</si>
  <si>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</si>
  <si>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</si>
  <si>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</si>
  <si>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</si>
  <si>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</si>
  <si>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</si>
  <si>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</si>
  <si>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</si>
  <si>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</si>
  <si>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</si>
  <si>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</si>
  <si>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</si>
  <si>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</si>
  <si>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</si>
  <si>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</si>
  <si>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</si>
  <si>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</si>
  <si>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</si>
  <si>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</si>
  <si>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</si>
  <si>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</si>
  <si>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</si>
  <si>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</si>
  <si>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</si>
  <si>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</si>
  <si>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</si>
  <si>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</si>
  <si>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</si>
  <si>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</si>
  <si>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</si>
  <si>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</si>
  <si>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</si>
  <si>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</si>
  <si>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</si>
  <si>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</si>
  <si>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</si>
  <si>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</si>
  <si>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</si>
  <si>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</si>
  <si>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</si>
  <si>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</si>
  <si>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</si>
  <si>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</si>
  <si>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</si>
  <si>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</si>
  <si>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</si>
  <si>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</si>
  <si>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</si>
  <si>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</si>
  <si>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</si>
  <si>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</si>
  <si>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</si>
  <si>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</si>
  <si>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</si>
  <si>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</si>
  <si>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</si>
  <si>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</si>
  <si>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</si>
  <si>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</si>
  <si>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</si>
  <si>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</si>
  <si>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</si>
  <si>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</si>
  <si>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</si>
  <si>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</si>
  <si>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</si>
  <si>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</si>
  <si>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</si>
  <si>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</si>
  <si>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</si>
  <si>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</si>
  <si>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</si>
  <si>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</si>
  <si>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</si>
  <si>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</si>
  <si>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</si>
  <si>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</si>
  <si>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</si>
  <si>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</si>
  <si>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</si>
  <si>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</si>
  <si>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</si>
  <si>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</si>
  <si>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</si>
  <si>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</si>
  <si>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</si>
  <si>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</si>
  <si>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</si>
  <si>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</si>
  <si>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</si>
  <si>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</si>
  <si>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</si>
  <si>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</si>
  <si>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</si>
  <si>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</si>
  <si>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</si>
  <si>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</si>
  <si>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</si>
  <si>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</si>
  <si>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</si>
  <si>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</si>
  <si>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</si>
  <si>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</si>
  <si>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</si>
  <si>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</si>
  <si>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</si>
  <si>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</si>
  <si>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</si>
  <si>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</si>
  <si>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</si>
  <si>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</si>
  <si>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</si>
  <si>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</si>
  <si>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</si>
  <si>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</si>
  <si>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</si>
  <si>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</si>
  <si>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</si>
  <si>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</si>
  <si>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</si>
  <si>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</si>
  <si>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</si>
  <si>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</si>
  <si>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</si>
  <si>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</si>
  <si>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</si>
  <si>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</si>
  <si>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</si>
  <si>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</si>
  <si>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</si>
  <si>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</si>
  <si>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</si>
  <si>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</si>
  <si>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</si>
  <si>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</si>
  <si>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</si>
  <si>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</si>
  <si>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</si>
  <si>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</si>
  <si>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</si>
  <si>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</si>
  <si>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</si>
  <si>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</si>
  <si>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</si>
  <si>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</si>
  <si>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</si>
  <si>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</si>
  <si>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</si>
  <si>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</si>
  <si>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</si>
  <si>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</si>
  <si>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</si>
  <si>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</si>
  <si>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</si>
  <si>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</si>
  <si>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</si>
  <si>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</si>
  <si>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</si>
  <si>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</si>
  <si>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</si>
  <si>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</si>
  <si>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</si>
  <si>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</si>
  <si>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</si>
  <si>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</si>
  <si>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</si>
  <si>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</si>
  <si>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</si>
  <si>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</si>
  <si>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</si>
  <si>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</si>
  <si>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</si>
  <si>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</si>
  <si>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</si>
  <si>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</si>
  <si>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</si>
  <si>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</si>
  <si>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</si>
  <si>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</si>
  <si>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</si>
  <si>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</si>
  <si>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</si>
  <si>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</si>
  <si>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</si>
  <si>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</si>
  <si>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</si>
  <si>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</si>
  <si>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</si>
  <si>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</si>
  <si>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</si>
  <si>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</si>
  <si>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</si>
  <si>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</si>
  <si>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</si>
  <si>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</si>
  <si>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</si>
  <si>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</si>
  <si>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</si>
  <si>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</si>
  <si>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</si>
  <si>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</si>
  <si>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</si>
  <si>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</si>
  <si>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</si>
  <si>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</si>
  <si>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</si>
  <si>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</si>
  <si>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</si>
  <si>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</si>
  <si>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</si>
  <si>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</si>
  <si>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</si>
  <si>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</si>
  <si>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</si>
  <si>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</si>
  <si>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</si>
  <si>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</si>
  <si>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</si>
  <si>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</si>
  <si>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</si>
  <si>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</si>
  <si>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</si>
  <si>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</si>
  <si>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</si>
  <si>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</si>
  <si>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</si>
  <si>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</si>
  <si>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</si>
  <si>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</si>
  <si>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</si>
  <si>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</si>
  <si>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</si>
  <si>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</si>
  <si>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</si>
  <si>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</si>
  <si>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</si>
  <si>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</si>
  <si>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</si>
  <si>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</si>
  <si>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</si>
  <si>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</si>
  <si>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</si>
  <si>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</si>
  <si>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</si>
  <si>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</si>
  <si>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</si>
  <si>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</si>
  <si>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</si>
  <si>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</si>
  <si>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</si>
  <si>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</si>
  <si>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</si>
  <si>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</si>
  <si>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</si>
  <si>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</si>
  <si>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</si>
  <si>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</si>
  <si>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</si>
  <si>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</si>
  <si>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</si>
  <si>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</si>
  <si>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</si>
  <si>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</si>
  <si>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</si>
  <si>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</si>
  <si>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</si>
  <si>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</si>
  <si>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</si>
  <si>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</si>
  <si>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</si>
  <si>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</si>
  <si>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</si>
  <si>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</si>
  <si>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</si>
  <si>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</si>
  <si>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</si>
  <si>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</si>
  <si>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</si>
  <si>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</si>
  <si>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</si>
  <si>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</si>
  <si>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</si>
  <si>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</si>
  <si>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</si>
  <si>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</si>
  <si>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</si>
  <si>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</si>
  <si>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</si>
  <si>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</si>
  <si>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</si>
  <si>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</si>
  <si>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</si>
  <si>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</si>
  <si>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</si>
  <si>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</si>
  <si>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</si>
  <si>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</si>
  <si>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</si>
  <si>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</si>
  <si>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</si>
  <si>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</si>
  <si>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</si>
  <si>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</si>
  <si>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</si>
  <si>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</si>
  <si>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</si>
  <si>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</si>
  <si>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</si>
  <si>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</si>
  <si>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</si>
  <si>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</si>
  <si>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</si>
  <si>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</si>
  <si>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</si>
  <si>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</si>
  <si>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</si>
  <si>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</si>
  <si>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</si>
  <si>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</si>
  <si>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</si>
  <si>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</si>
  <si>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</si>
  <si>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</si>
  <si>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</si>
  <si>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</si>
  <si>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</si>
  <si>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</si>
  <si>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</si>
  <si>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</si>
  <si>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</si>
  <si>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</si>
  <si>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</si>
  <si>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</si>
  <si>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</si>
  <si>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</si>
  <si>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</si>
  <si>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</si>
  <si>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</si>
  <si>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</si>
  <si>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</si>
  <si>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</si>
  <si>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</si>
  <si>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</si>
  <si>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</si>
  <si>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</si>
  <si>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</si>
  <si>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</si>
  <si>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</si>
  <si>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</si>
  <si>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</si>
  <si>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</si>
  <si>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</si>
  <si>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</si>
  <si>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</si>
  <si>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</si>
  <si>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</si>
  <si>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</si>
  <si>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</si>
  <si>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</si>
  <si>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</si>
  <si>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</si>
  <si>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</si>
  <si>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</si>
  <si>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</si>
  <si>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</si>
  <si>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</si>
  <si>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</si>
  <si>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</si>
  <si>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</si>
  <si>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</si>
  <si>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</si>
  <si>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</si>
  <si>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</si>
  <si>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</si>
  <si>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</si>
  <si>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</si>
  <si>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</si>
  <si>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</si>
  <si>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</si>
  <si>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</si>
  <si>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</si>
  <si>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</si>
  <si>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</si>
  <si>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</si>
  <si>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</si>
  <si>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</si>
  <si>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</si>
  <si>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</si>
  <si>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</si>
  <si>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</si>
  <si>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</si>
  <si>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</si>
  <si>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</si>
  <si>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</si>
  <si>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</si>
  <si>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</si>
  <si>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</si>
  <si>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</si>
  <si>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</si>
  <si>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</si>
  <si>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</si>
  <si>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</si>
  <si>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</si>
  <si>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</si>
  <si>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</si>
  <si>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</si>
  <si>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</si>
  <si>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</si>
  <si>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</si>
  <si>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</si>
  <si>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</si>
  <si>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</si>
  <si>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</si>
  <si>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</si>
  <si>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</si>
  <si>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</si>
  <si>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</si>
  <si>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</si>
  <si>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</si>
  <si>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</si>
  <si>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</si>
  <si>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</si>
  <si>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</si>
  <si>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</si>
  <si>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</si>
  <si>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</si>
  <si>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</si>
  <si>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</si>
  <si>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</si>
  <si>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</si>
  <si>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</si>
  <si>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</si>
  <si>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</si>
  <si>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</si>
  <si>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</si>
  <si>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</si>
  <si>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</si>
  <si>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</si>
  <si>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</si>
  <si>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</si>
  <si>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</si>
  <si>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</si>
  <si>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</si>
  <si>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</si>
  <si>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</si>
  <si>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</si>
  <si>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</si>
  <si>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</si>
  <si>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</si>
  <si>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</si>
  <si>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</si>
  <si>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</si>
  <si>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</si>
  <si>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</si>
  <si>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</si>
  <si>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</si>
  <si>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</si>
  <si>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</si>
  <si>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</si>
  <si>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</si>
  <si>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</si>
  <si>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</si>
  <si>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</si>
  <si>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</si>
  <si>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</si>
  <si>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</si>
  <si>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</si>
  <si>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</si>
  <si>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</si>
  <si>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</si>
  <si>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</si>
  <si>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</si>
  <si>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</si>
  <si>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</si>
  <si>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</si>
  <si>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</si>
  <si>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</si>
  <si>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</si>
  <si>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</si>
  <si>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</si>
  <si>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</si>
  <si>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</si>
  <si>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</si>
  <si>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</si>
  <si>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</si>
  <si>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</si>
  <si>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</si>
  <si>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</si>
  <si>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</si>
  <si>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</si>
  <si>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</si>
  <si>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</si>
  <si>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</si>
  <si>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</si>
  <si>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</si>
  <si>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</si>
  <si>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</si>
  <si>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</si>
  <si>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</si>
  <si>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</si>
  <si>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</si>
  <si>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</si>
  <si>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</si>
  <si>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</si>
  <si>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</si>
  <si>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</si>
  <si>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</si>
  <si>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</si>
  <si>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</si>
  <si>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</si>
  <si>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</si>
  <si>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</si>
  <si>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</si>
  <si>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</si>
  <si>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</si>
  <si>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</si>
  <si>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</si>
  <si>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</si>
  <si>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</si>
  <si>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</si>
  <si>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</si>
  <si>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</si>
  <si>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</si>
  <si>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</si>
  <si>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</si>
  <si>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</si>
  <si>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</si>
  <si>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</si>
  <si>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</si>
  <si>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</si>
  <si>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</si>
  <si>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</si>
  <si>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</si>
  <si>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</si>
  <si>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</si>
  <si>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</si>
  <si>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</si>
  <si>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</si>
  <si>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</si>
  <si>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</si>
  <si>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</si>
  <si>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</si>
  <si>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</si>
  <si>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</si>
  <si>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</si>
  <si>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</si>
  <si>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</si>
  <si>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</si>
  <si>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</si>
  <si>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</si>
  <si>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</si>
  <si>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</si>
  <si>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</si>
  <si>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</si>
  <si>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</si>
  <si>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</si>
  <si>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</si>
  <si>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</si>
  <si>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</si>
  <si>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</si>
  <si>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</si>
  <si>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</si>
  <si>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</si>
  <si>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</si>
  <si>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</si>
  <si>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</si>
  <si>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</si>
  <si>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</si>
  <si>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</si>
  <si>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</si>
  <si>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</si>
  <si>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</si>
  <si>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</si>
  <si>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</si>
  <si>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</si>
  <si>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</si>
  <si>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</si>
  <si>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</si>
  <si>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</si>
  <si>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</si>
  <si>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</si>
  <si>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</si>
  <si>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</si>
  <si>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</si>
  <si>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</si>
  <si>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</si>
  <si>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</si>
  <si>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</si>
  <si>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</si>
  <si>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</si>
  <si>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</si>
  <si>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</si>
  <si>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</si>
  <si>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</si>
  <si>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</si>
  <si>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</si>
  <si>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</si>
  <si>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</si>
  <si>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</si>
  <si>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</si>
  <si>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</si>
  <si>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</si>
  <si>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</si>
  <si>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</si>
  <si>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</si>
  <si>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</si>
  <si>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</si>
  <si>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</si>
  <si>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</si>
  <si>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</si>
  <si>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</si>
  <si>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</si>
  <si>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</si>
  <si>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</si>
  <si>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</si>
  <si>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</si>
  <si>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</si>
  <si>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</si>
  <si>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</si>
  <si>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</si>
  <si>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</si>
  <si>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</si>
  <si>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</si>
  <si>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</si>
  <si>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</si>
  <si>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</si>
  <si>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</si>
  <si>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</si>
  <si>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</si>
  <si>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</si>
  <si>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</si>
  <si>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</si>
  <si>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</si>
  <si>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</si>
  <si>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</si>
  <si>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</si>
  <si>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</si>
  <si>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</si>
  <si>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</si>
  <si>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</si>
  <si>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</si>
  <si>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</si>
  <si>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</si>
  <si>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</si>
  <si>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</si>
  <si>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</si>
  <si>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</si>
  <si>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</si>
  <si>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</si>
  <si>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</si>
  <si>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</si>
  <si>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</si>
  <si>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</si>
  <si>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</si>
  <si>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</si>
  <si>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</si>
  <si>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</si>
  <si>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</si>
  <si>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</si>
  <si>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</si>
  <si>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</si>
  <si>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</si>
  <si>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</si>
  <si>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</si>
  <si>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</si>
  <si>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</si>
  <si>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</si>
  <si>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</si>
  <si>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</si>
  <si>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</si>
  <si>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</si>
  <si>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</si>
  <si>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</si>
  <si>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</si>
  <si>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</si>
  <si>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</si>
  <si>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</si>
  <si>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</si>
  <si>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</si>
  <si>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</si>
  <si>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</si>
  <si>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</si>
  <si>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</si>
  <si>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</si>
  <si>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</si>
  <si>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</si>
  <si>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</si>
  <si>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</si>
  <si>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</si>
  <si>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</si>
  <si>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</si>
  <si>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</si>
  <si>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</si>
  <si>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</si>
  <si>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</si>
  <si>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</si>
  <si>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</si>
  <si>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</si>
  <si>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</si>
  <si>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</si>
  <si>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</si>
  <si>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</si>
  <si>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</si>
  <si>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</si>
  <si>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</si>
  <si>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</si>
  <si>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</si>
  <si>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</si>
  <si>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</si>
  <si>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</si>
  <si>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</si>
  <si>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</si>
  <si>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</si>
  <si>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</si>
  <si>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</si>
  <si>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</si>
  <si>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</si>
  <si>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</si>
  <si>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</si>
  <si>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</si>
  <si>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</si>
  <si>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</si>
  <si>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</si>
  <si>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</si>
  <si>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</si>
  <si>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</si>
  <si>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</si>
  <si>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</si>
  <si>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</si>
  <si>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</si>
  <si>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</si>
  <si>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</si>
  <si>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</si>
  <si>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</si>
  <si>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</si>
  <si>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</si>
  <si>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</si>
  <si>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</si>
  <si>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</si>
  <si>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</si>
  <si>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</si>
  <si>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</si>
  <si>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</si>
  <si>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</si>
  <si>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</si>
  <si>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</si>
  <si>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</si>
  <si>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</si>
  <si>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</si>
  <si>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</si>
  <si>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</si>
  <si>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</si>
  <si>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</si>
  <si>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</si>
  <si>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</si>
  <si>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</si>
  <si>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</si>
  <si>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</si>
  <si>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</si>
  <si>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</si>
  <si>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</si>
  <si>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</si>
  <si>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</si>
  <si>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</si>
  <si>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</si>
  <si>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</si>
  <si>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</si>
  <si>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</si>
  <si>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</si>
  <si>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</si>
  <si>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</si>
  <si>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</si>
  <si>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</si>
  <si>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</si>
  <si>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</si>
  <si>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</si>
  <si>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</si>
  <si>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</si>
  <si>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</si>
  <si>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</si>
  <si>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</si>
  <si>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</si>
  <si>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</si>
  <si>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</si>
  <si>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</si>
  <si>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</si>
  <si>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</si>
  <si>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</si>
  <si>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</si>
  <si>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</si>
  <si>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</si>
  <si>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</si>
  <si>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</si>
  <si>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</si>
  <si>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</si>
  <si>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</si>
  <si>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</si>
  <si>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</si>
  <si>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</si>
  <si>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</si>
  <si>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</si>
  <si>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</si>
  <si>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</si>
  <si>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</si>
  <si>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</si>
  <si>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</si>
  <si>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</si>
  <si>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</si>
  <si>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</si>
  <si>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</si>
  <si>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</si>
  <si>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</si>
  <si>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</si>
  <si>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</si>
  <si>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</si>
  <si>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</si>
  <si>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</si>
  <si>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</si>
  <si>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</si>
  <si>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</si>
  <si>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</si>
  <si>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</si>
  <si>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</si>
  <si>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</si>
  <si>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</si>
  <si>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</si>
  <si>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</si>
  <si>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</si>
  <si>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</si>
  <si>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</si>
  <si>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</si>
  <si>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</si>
  <si>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</si>
  <si>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</si>
  <si>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</si>
  <si>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</si>
  <si>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</si>
  <si>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</si>
  <si>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</si>
  <si>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</si>
  <si>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</si>
  <si>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</si>
  <si>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</si>
  <si>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</si>
  <si>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</si>
  <si>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</si>
  <si>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</si>
  <si>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</si>
  <si>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</si>
  <si>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</si>
  <si>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</si>
  <si>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</si>
  <si>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</si>
  <si>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</si>
  <si>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</si>
  <si>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</si>
  <si>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</si>
  <si>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</si>
  <si>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</si>
  <si>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</si>
  <si>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</si>
  <si>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</si>
  <si>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</si>
  <si>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</si>
  <si>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</si>
  <si>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</si>
  <si>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</si>
  <si>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</si>
  <si>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</si>
  <si>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</si>
  <si>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</si>
  <si>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</si>
  <si>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</si>
  <si>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</si>
  <si>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</si>
  <si>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</si>
  <si>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</si>
  <si>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</si>
  <si>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</si>
  <si>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</si>
  <si>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</si>
  <si>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</si>
  <si>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</si>
  <si>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</si>
  <si>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</si>
  <si>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</si>
  <si>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</si>
  <si>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</si>
  <si>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</si>
  <si>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</si>
  <si>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</si>
  <si>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</si>
  <si>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</si>
  <si>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</si>
  <si>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</si>
  <si>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</si>
  <si>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</si>
  <si>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</si>
  <si>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</si>
  <si>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</si>
  <si>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</si>
  <si>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</si>
  <si>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</si>
  <si>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</si>
  <si>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</si>
  <si>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</si>
  <si>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</si>
  <si>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</si>
  <si>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</si>
  <si>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</si>
  <si>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</si>
  <si>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</si>
  <si>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</si>
  <si>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</si>
  <si>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</si>
  <si>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</si>
  <si>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</si>
  <si>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</si>
  <si>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</si>
  <si>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</si>
  <si>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</si>
  <si>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</si>
  <si>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</si>
  <si>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</si>
  <si>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</si>
  <si>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</si>
  <si>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</si>
  <si>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</si>
  <si>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</si>
  <si>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</si>
  <si>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</si>
  <si>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</si>
  <si>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</si>
  <si>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</si>
  <si>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</si>
  <si>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</si>
  <si>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</si>
  <si>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</si>
  <si>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</si>
  <si>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</si>
  <si>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</si>
  <si>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</si>
  <si>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</si>
  <si>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</si>
  <si>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</si>
  <si>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</si>
  <si>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</si>
  <si>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</si>
  <si>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</si>
  <si>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</si>
  <si>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</si>
  <si>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</si>
  <si>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</si>
  <si>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</si>
  <si>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</si>
  <si>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</si>
  <si>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</si>
  <si>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</si>
  <si>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</si>
  <si>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</si>
  <si>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</si>
  <si>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</si>
  <si>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</si>
  <si>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</si>
  <si>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</si>
  <si>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</si>
  <si>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</si>
  <si>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</si>
  <si>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</si>
  <si>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</si>
  <si>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</si>
  <si>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</si>
  <si>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</si>
  <si>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</si>
  <si>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</si>
  <si>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</si>
  <si>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</si>
  <si>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</si>
  <si>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</si>
  <si>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</si>
  <si>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</si>
  <si>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</si>
  <si>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</si>
  <si>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</si>
  <si>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</si>
  <si>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</si>
  <si>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</si>
  <si>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</si>
  <si>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</si>
  <si>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</si>
  <si>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</si>
  <si>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</si>
  <si>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</si>
  <si>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</si>
  <si>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</si>
  <si>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</si>
  <si>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</si>
  <si>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</si>
  <si>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</si>
  <si>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</si>
  <si>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</si>
  <si>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</si>
  <si>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</si>
  <si>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</si>
  <si>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</si>
  <si>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</si>
  <si>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</si>
  <si>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</si>
  <si>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</si>
  <si>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</si>
  <si>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</si>
  <si>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</si>
  <si>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</si>
  <si>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</si>
  <si>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</si>
  <si>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</si>
  <si>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</si>
  <si>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</si>
  <si>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</si>
  <si>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</si>
  <si>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</si>
  <si>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</si>
  <si>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</si>
  <si>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</si>
  <si>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</si>
  <si>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</si>
  <si>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</si>
  <si>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</si>
  <si>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</si>
  <si>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</si>
  <si>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</si>
  <si>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</si>
  <si>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</si>
  <si>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</si>
  <si>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</si>
  <si>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</si>
  <si>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</si>
  <si>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</si>
  <si>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</si>
  <si>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</si>
  <si>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</si>
  <si>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</si>
  <si>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</si>
  <si>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</si>
  <si>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</si>
  <si>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</si>
  <si>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</si>
  <si>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</si>
  <si>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</si>
  <si>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</si>
  <si>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</si>
  <si>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</si>
  <si>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</si>
  <si>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</si>
  <si>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</si>
  <si>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</si>
  <si>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</si>
  <si>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</si>
  <si>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</si>
  <si>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</si>
  <si>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</si>
  <si>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</si>
  <si>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</si>
  <si>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</si>
  <si>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</si>
  <si>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</si>
  <si>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</si>
  <si>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</si>
  <si>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</si>
  <si>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</si>
  <si>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</si>
  <si>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</si>
  <si>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</si>
  <si>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</si>
  <si>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</si>
  <si>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</si>
  <si>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</si>
  <si>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</si>
  <si>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</si>
  <si>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</si>
  <si>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</si>
  <si>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</si>
  <si>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</si>
  <si>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</si>
  <si>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</si>
  <si>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</si>
  <si>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</si>
  <si>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</si>
  <si>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</si>
  <si>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</si>
  <si>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</si>
  <si>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</si>
  <si>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</si>
  <si>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</si>
  <si>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</si>
  <si>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</si>
  <si>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</si>
  <si>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</si>
  <si>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</si>
  <si>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</si>
  <si>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</si>
  <si>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</si>
  <si>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</si>
  <si>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</si>
  <si>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</si>
  <si>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</si>
  <si>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</si>
  <si>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</si>
  <si>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</si>
  <si>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</si>
  <si>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</si>
  <si>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</si>
  <si>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</si>
  <si>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</si>
  <si>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</si>
  <si>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</si>
  <si>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</si>
  <si>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</si>
  <si>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</si>
  <si>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</si>
  <si>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</si>
  <si>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</si>
  <si>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</si>
  <si>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</si>
  <si>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</si>
  <si>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</si>
  <si>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</si>
  <si>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</si>
  <si>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</si>
  <si>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</si>
  <si>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</si>
  <si>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</si>
  <si>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</si>
  <si>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</si>
  <si>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</si>
  <si>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</si>
  <si>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</si>
  <si>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</si>
  <si>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</si>
  <si>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</si>
  <si>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</si>
  <si>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</si>
  <si>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</si>
  <si>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</si>
  <si>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</si>
  <si>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</si>
  <si>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</si>
  <si>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</si>
  <si>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</si>
  <si>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</si>
  <si>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</si>
  <si>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</si>
  <si>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</si>
  <si>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</si>
  <si>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</si>
  <si>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</si>
  <si>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</si>
  <si>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</si>
  <si>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</si>
  <si>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</si>
  <si>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</si>
  <si>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</si>
  <si>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</si>
  <si>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</si>
  <si>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</si>
  <si>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</si>
  <si>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</si>
  <si>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</si>
  <si>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</si>
  <si>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</si>
  <si>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</si>
  <si>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</si>
  <si>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</si>
  <si>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</si>
  <si>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</si>
  <si>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</si>
  <si>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</si>
  <si>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</si>
  <si>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</si>
  <si>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</si>
  <si>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</si>
  <si>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</si>
  <si>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</si>
  <si>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</si>
  <si>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</si>
  <si>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</si>
  <si>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</si>
  <si>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</si>
  <si>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</si>
  <si>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</si>
  <si>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</si>
  <si>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</si>
  <si>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</si>
  <si>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</si>
  <si>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</si>
  <si>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</si>
  <si>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</si>
  <si>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</si>
  <si>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</si>
  <si>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</si>
  <si>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</si>
  <si>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</si>
  <si>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</si>
  <si>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</si>
  <si>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</si>
  <si>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</si>
  <si>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</si>
  <si>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</si>
  <si>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</si>
  <si>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</si>
  <si>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</si>
  <si>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</si>
  <si>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</si>
  <si>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</si>
  <si>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</si>
  <si>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</si>
  <si>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</si>
  <si>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</si>
  <si>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</si>
  <si>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</si>
  <si>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</si>
  <si>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</si>
  <si>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</si>
  <si>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</si>
  <si>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</si>
  <si>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</si>
  <si>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</si>
  <si>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</si>
  <si>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</si>
  <si>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</si>
  <si>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</si>
  <si>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</si>
  <si>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</si>
  <si>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</si>
  <si>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</si>
  <si>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</si>
  <si>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</si>
  <si>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</si>
  <si>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</si>
  <si>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</si>
  <si>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</si>
  <si>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</si>
  <si>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</si>
  <si>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</si>
  <si>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</si>
  <si>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</si>
  <si>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</si>
  <si>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</si>
  <si>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</si>
  <si>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</si>
  <si>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</si>
  <si>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</si>
  <si>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</si>
  <si>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</si>
  <si>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</si>
  <si>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</si>
  <si>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</si>
  <si>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</si>
  <si>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</si>
  <si>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</si>
  <si>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</si>
  <si>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</si>
  <si>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</si>
  <si>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</si>
  <si>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</si>
  <si>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</si>
  <si>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</si>
  <si>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</si>
  <si>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</si>
  <si>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</si>
  <si>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</si>
  <si>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</si>
  <si>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</si>
  <si>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</si>
  <si>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</si>
  <si>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</si>
  <si>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</si>
  <si>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</si>
  <si>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</si>
  <si>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</si>
  <si>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</si>
  <si>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</si>
  <si>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</si>
  <si>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</si>
  <si>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</si>
  <si>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</si>
  <si>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</si>
  <si>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</si>
  <si>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</si>
  <si>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</si>
  <si>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</si>
  <si>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</si>
  <si>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</si>
  <si>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</si>
  <si>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</si>
  <si>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</si>
  <si>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</si>
  <si>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</si>
  <si>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</si>
  <si>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</si>
  <si>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</si>
  <si>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</si>
  <si>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</si>
  <si>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</si>
  <si>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</si>
  <si>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</si>
  <si>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</si>
  <si>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</si>
  <si>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</si>
  <si>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</si>
  <si>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</si>
  <si>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</si>
  <si>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</si>
  <si>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</si>
  <si>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</si>
  <si>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</si>
  <si>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</si>
  <si>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</si>
  <si>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</si>
  <si>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</si>
  <si>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</si>
  <si>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</si>
  <si>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</si>
  <si>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</si>
  <si>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</si>
  <si>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</si>
  <si>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</si>
  <si>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</si>
  <si>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</si>
  <si>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</si>
  <si>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</si>
  <si>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</si>
  <si>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</si>
  <si>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</si>
  <si>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</si>
  <si>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</si>
  <si>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</si>
  <si>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</si>
  <si>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</si>
  <si>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</si>
  <si>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</si>
  <si>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</si>
  <si>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</si>
  <si>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</si>
  <si>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</si>
  <si>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</si>
  <si>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</si>
  <si>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</si>
  <si>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</si>
  <si>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</si>
  <si>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</si>
  <si>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</si>
  <si>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</si>
  <si>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</si>
  <si>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</si>
  <si>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</si>
  <si>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</si>
  <si>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</si>
  <si>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</si>
  <si>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</si>
  <si>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</si>
  <si>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</si>
  <si>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</si>
  <si>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</si>
  <si>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</si>
  <si>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</si>
  <si>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</si>
  <si>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</si>
  <si>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</si>
  <si>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</si>
  <si>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</si>
  <si>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</si>
  <si>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</si>
  <si>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</si>
  <si>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</si>
  <si>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</si>
  <si>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</si>
  <si>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</si>
  <si>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</si>
  <si>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</si>
  <si>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</si>
  <si>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</si>
  <si>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</si>
  <si>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</si>
  <si>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</si>
  <si>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</si>
  <si>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</si>
  <si>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</si>
  <si>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</si>
  <si>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</si>
  <si>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</si>
  <si>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</si>
  <si>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</si>
  <si>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</si>
  <si>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</si>
  <si>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</si>
  <si>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</si>
  <si>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</si>
  <si>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</si>
  <si>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</si>
  <si>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</si>
  <si>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</si>
  <si>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</si>
  <si>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</si>
  <si>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</si>
  <si>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</si>
  <si>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</si>
  <si>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</si>
  <si>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</si>
  <si>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</si>
  <si>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</si>
  <si>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</si>
  <si>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</si>
  <si>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</si>
  <si>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</si>
  <si>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</si>
  <si>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</si>
  <si>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</si>
  <si>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</si>
  <si>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</si>
  <si>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</si>
  <si>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</si>
  <si>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</si>
  <si>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</si>
  <si>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</si>
  <si>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</si>
  <si>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</si>
  <si>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</si>
  <si>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</si>
  <si>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</si>
  <si>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</si>
  <si>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</si>
  <si>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</si>
  <si>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</si>
  <si>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</si>
  <si>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</si>
  <si>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</si>
  <si>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</si>
  <si>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</si>
  <si>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</si>
  <si>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</si>
  <si>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</si>
  <si>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</si>
  <si>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</si>
  <si>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</si>
  <si>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</si>
  <si>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</si>
  <si>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</si>
  <si>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</si>
  <si>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</si>
  <si>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</si>
  <si>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</si>
  <si>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</si>
  <si>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</si>
  <si>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</si>
  <si>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</si>
  <si>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</si>
  <si>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</si>
  <si>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</si>
  <si>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</si>
  <si>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</si>
  <si>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</si>
  <si>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</si>
  <si>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</si>
  <si>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</si>
  <si>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</si>
  <si>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</si>
  <si>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</si>
  <si>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</si>
  <si>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</si>
  <si>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</si>
  <si>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</si>
  <si>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</si>
  <si>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</si>
  <si>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</si>
  <si>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</si>
  <si>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</si>
  <si>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</si>
  <si>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</si>
  <si>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</si>
  <si>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</si>
  <si>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</si>
  <si>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</si>
  <si>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</si>
  <si>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</si>
  <si>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</si>
  <si>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</si>
  <si>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</si>
  <si>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</si>
  <si>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</si>
  <si>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</si>
  <si>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</si>
  <si>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</si>
  <si>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</si>
  <si>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</si>
  <si>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</si>
  <si>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</si>
  <si>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</si>
  <si>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</si>
  <si>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</si>
  <si>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</si>
  <si>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</si>
  <si>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</si>
  <si>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</si>
  <si>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</si>
  <si>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</si>
  <si>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</si>
  <si>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</si>
  <si>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</si>
  <si>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</si>
  <si>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</si>
  <si>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</si>
  <si>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</si>
  <si>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</si>
  <si>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</si>
  <si>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</si>
  <si>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</si>
  <si>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</si>
  <si>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</si>
  <si>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</si>
  <si>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</si>
  <si>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</si>
  <si>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</si>
  <si>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</si>
  <si>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</si>
  <si>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</si>
  <si>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</si>
  <si>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</si>
  <si>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</si>
  <si>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</si>
  <si>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</si>
  <si>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</si>
  <si>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</si>
  <si>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</si>
  <si>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</si>
  <si>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</si>
  <si>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</si>
  <si>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</si>
  <si>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</si>
  <si>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</si>
  <si>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</si>
  <si>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</si>
  <si>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</si>
  <si>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</si>
  <si>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</si>
  <si>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</si>
  <si>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</si>
  <si>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</si>
  <si>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</si>
  <si>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</si>
  <si>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</si>
  <si>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</si>
  <si>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</si>
  <si>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</si>
  <si>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</si>
  <si>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</si>
  <si>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</si>
  <si>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</si>
  <si>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</si>
  <si>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</si>
  <si>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</si>
  <si>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</si>
  <si>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</si>
  <si>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</si>
  <si>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</si>
  <si>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</si>
  <si>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</si>
  <si>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</si>
  <si>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</si>
  <si>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</si>
  <si>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</si>
  <si>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</si>
  <si>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</si>
  <si>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</si>
  <si>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</si>
  <si>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</si>
  <si>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</si>
  <si>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</si>
  <si>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</si>
  <si>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</si>
  <si>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</si>
  <si>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</si>
  <si>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</si>
  <si>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</si>
  <si>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</si>
  <si>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</si>
  <si>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</si>
  <si>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</si>
  <si>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</si>
  <si>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</si>
  <si>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</si>
  <si>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</si>
  <si>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</si>
  <si>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</si>
  <si>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</si>
  <si>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</si>
  <si>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</si>
  <si>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</si>
  <si>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</si>
  <si>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</si>
  <si>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</si>
  <si>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</si>
  <si>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</si>
  <si>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</si>
  <si>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</si>
  <si>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</si>
  <si>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</si>
  <si>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</si>
  <si>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</si>
  <si>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</si>
  <si>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</si>
  <si>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</si>
  <si>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</si>
  <si>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</si>
  <si>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</si>
  <si>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</si>
  <si>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</si>
  <si>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</si>
  <si>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</si>
  <si>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</si>
  <si>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</si>
  <si>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</si>
  <si>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</si>
  <si>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</si>
  <si>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</si>
  <si>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</si>
  <si>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</si>
  <si>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</si>
  <si>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</si>
  <si>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</si>
  <si>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</si>
  <si>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</si>
  <si>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</si>
  <si>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</si>
  <si>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</si>
  <si>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</si>
  <si>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</si>
  <si>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</si>
  <si>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</si>
  <si>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</si>
  <si>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</si>
  <si>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</si>
  <si>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</si>
  <si>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</si>
  <si>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</si>
  <si>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</si>
  <si>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</si>
  <si>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</si>
  <si>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</si>
  <si>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</si>
  <si>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</si>
  <si>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</si>
  <si>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</si>
  <si>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</si>
  <si>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</si>
  <si>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</si>
  <si>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</si>
  <si>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</si>
  <si>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</si>
  <si>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</si>
  <si>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</si>
  <si>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</si>
  <si>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</si>
  <si>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</si>
  <si>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</si>
  <si>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</si>
  <si>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</si>
  <si>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</si>
  <si>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</si>
  <si>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</si>
  <si>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</si>
  <si>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</si>
  <si>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</si>
  <si>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</si>
  <si>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</si>
  <si>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</si>
  <si>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</si>
  <si>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</si>
  <si>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</si>
  <si>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</si>
  <si>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</si>
  <si>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</si>
  <si>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</si>
  <si>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</si>
  <si>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</si>
  <si>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</si>
  <si>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</si>
  <si>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</si>
  <si>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</si>
  <si>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</si>
  <si>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</si>
  <si>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</si>
  <si>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</si>
  <si>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</si>
  <si>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</si>
  <si>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</si>
  <si>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</si>
  <si>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</si>
  <si>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</si>
  <si>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</si>
  <si>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</si>
  <si>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</si>
  <si>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</si>
  <si>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</si>
  <si>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</si>
  <si>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</si>
  <si>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</si>
  <si>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</si>
  <si>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</si>
  <si>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</si>
  <si>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</si>
  <si>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</si>
  <si>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</si>
  <si>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</si>
  <si>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</si>
  <si>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</si>
  <si>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</si>
  <si>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</si>
  <si>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</si>
  <si>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</si>
  <si>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</si>
  <si>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</si>
  <si>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</si>
  <si>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</si>
  <si>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</si>
  <si>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</si>
  <si>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</si>
  <si>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</si>
  <si>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</si>
  <si>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</si>
  <si>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</si>
  <si>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</si>
  <si>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</si>
  <si>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</si>
  <si>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</si>
  <si>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</si>
  <si>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</si>
  <si>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</si>
  <si>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</si>
  <si>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</si>
  <si>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</si>
  <si>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</si>
  <si>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</si>
  <si>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</si>
  <si>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</si>
  <si>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</si>
  <si>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</si>
  <si>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</si>
  <si>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</si>
  <si>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</si>
  <si>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</si>
  <si>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</si>
  <si>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</si>
  <si>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</si>
  <si>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</si>
  <si>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</si>
  <si>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</si>
  <si>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</si>
  <si>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</si>
  <si>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</si>
  <si>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</si>
  <si>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</si>
  <si>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</si>
  <si>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</si>
  <si>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</si>
  <si>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</si>
  <si>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</si>
  <si>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</si>
  <si>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</si>
  <si>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</si>
  <si>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</si>
  <si>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</si>
  <si>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</si>
  <si>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</si>
  <si>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</si>
  <si>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</si>
  <si>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</si>
  <si>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</si>
  <si>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</si>
  <si>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</si>
  <si>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</si>
  <si>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</si>
  <si>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</si>
  <si>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</si>
  <si>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</si>
  <si>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</si>
  <si>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</si>
  <si>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</si>
  <si>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</si>
  <si>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</si>
  <si>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</si>
  <si>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</si>
  <si>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</si>
  <si>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</si>
  <si>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</si>
  <si>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</si>
  <si>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</si>
  <si>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</si>
  <si>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</si>
  <si>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</si>
  <si>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</si>
  <si>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</si>
  <si>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</si>
  <si>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</si>
  <si>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</si>
  <si>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</si>
  <si>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</si>
  <si>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</si>
  <si>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</si>
  <si>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</si>
  <si>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</si>
  <si>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</si>
  <si>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</si>
  <si>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</si>
  <si>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</si>
  <si>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</si>
  <si>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</si>
  <si>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</si>
  <si>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</si>
  <si>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</si>
  <si>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</si>
  <si>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</si>
  <si>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</si>
  <si>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</si>
  <si>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</si>
  <si>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</si>
  <si>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</si>
  <si>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</si>
  <si>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</si>
  <si>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</si>
  <si>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</si>
  <si>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</si>
  <si>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</si>
  <si>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</si>
  <si>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</si>
  <si>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</si>
  <si>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</si>
  <si>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</si>
  <si>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</si>
  <si>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</si>
  <si>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</si>
  <si>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</si>
  <si>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</si>
  <si>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</si>
  <si>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</si>
  <si>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</si>
  <si>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</si>
  <si>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</si>
  <si>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</si>
  <si>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</si>
  <si>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</si>
  <si>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</si>
  <si>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</si>
  <si>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</si>
  <si>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</si>
  <si>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</si>
  <si>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</si>
  <si>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</si>
  <si>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</si>
  <si>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</si>
  <si>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</si>
  <si>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</si>
  <si>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</si>
  <si>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</si>
  <si>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</si>
  <si>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</si>
  <si>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</si>
  <si>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</si>
  <si>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</si>
  <si>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</si>
  <si>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</si>
  <si>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</si>
  <si>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</si>
  <si>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</si>
  <si>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</si>
  <si>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</si>
  <si>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</si>
  <si>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</si>
  <si>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</si>
  <si>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</si>
  <si>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</si>
  <si>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</si>
  <si>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</si>
  <si>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</si>
  <si>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</si>
  <si>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</si>
  <si>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</si>
  <si>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</si>
  <si>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</si>
  <si>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</si>
  <si>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</si>
  <si>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</si>
  <si>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</si>
  <si>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</si>
  <si>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</si>
  <si>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</si>
  <si>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</si>
  <si>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</si>
  <si>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</si>
  <si>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</si>
  <si>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</si>
  <si>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</si>
  <si>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</si>
  <si>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</si>
  <si>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</si>
  <si>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</si>
  <si>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</si>
  <si>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</si>
  <si>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</si>
  <si>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</si>
  <si>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</si>
  <si>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</si>
  <si>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</si>
  <si>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</si>
  <si>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</si>
  <si>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</si>
  <si>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</si>
  <si>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</si>
  <si>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</si>
  <si>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</si>
  <si>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</si>
  <si>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</si>
  <si>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</si>
  <si>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</si>
  <si>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</si>
  <si>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</si>
  <si>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</si>
  <si>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</si>
  <si>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</si>
  <si>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</si>
  <si>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</si>
  <si>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</si>
  <si>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</si>
  <si>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</si>
  <si>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</si>
  <si>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</si>
  <si>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</si>
  <si>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</si>
  <si>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</si>
  <si>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</si>
  <si>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</si>
  <si>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</si>
  <si>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</si>
  <si>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</si>
  <si>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</si>
  <si>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</si>
  <si>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</si>
  <si>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</si>
  <si>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</si>
  <si>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</si>
  <si>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</si>
  <si>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</si>
  <si>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</si>
  <si>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</si>
  <si>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</si>
  <si>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</si>
  <si>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</si>
  <si>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</si>
  <si>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</si>
  <si>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</si>
  <si>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</si>
  <si>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</si>
  <si>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</si>
  <si>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</si>
  <si>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</si>
  <si>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</si>
  <si>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</si>
  <si>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</si>
  <si>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</si>
  <si>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</si>
  <si>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</si>
  <si>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</si>
  <si>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</si>
  <si>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</si>
  <si>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</si>
  <si>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</si>
  <si>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</si>
  <si>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</si>
  <si>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</si>
  <si>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</si>
  <si>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</si>
  <si>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</si>
  <si>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</si>
  <si>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</si>
  <si>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</si>
  <si>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</si>
  <si>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</si>
  <si>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</si>
  <si>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</si>
  <si>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</si>
  <si>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</si>
  <si>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</si>
  <si>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</si>
  <si>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</si>
  <si>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</si>
  <si>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</si>
  <si>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</si>
  <si>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</si>
  <si>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</si>
  <si>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</si>
  <si>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</si>
  <si>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</si>
  <si>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</si>
  <si>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</si>
  <si>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</si>
  <si>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</si>
  <si>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</si>
  <si>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</si>
  <si>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</si>
  <si>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</si>
  <si>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</si>
  <si>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</si>
  <si>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</si>
  <si>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</si>
  <si>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</si>
  <si>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</si>
  <si>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</si>
  <si>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</si>
  <si>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</si>
  <si>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</si>
  <si>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</si>
  <si>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</si>
  <si>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</si>
  <si>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</si>
  <si>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</si>
  <si>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</si>
  <si>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</si>
  <si>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</si>
  <si>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</si>
  <si>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</si>
  <si>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</si>
  <si>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</si>
  <si>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</si>
  <si>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</si>
  <si>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</si>
  <si>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</si>
  <si>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</si>
  <si>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</si>
  <si>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</si>
  <si>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</si>
  <si>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</si>
  <si>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</si>
  <si>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</si>
  <si>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</si>
  <si>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</si>
  <si>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</si>
  <si>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</si>
  <si>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</si>
  <si>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</si>
  <si>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</si>
  <si>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</si>
  <si>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</si>
  <si>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</si>
  <si>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</si>
  <si>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</si>
  <si>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</si>
  <si>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</si>
  <si>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</si>
  <si>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</si>
  <si>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</si>
  <si>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</si>
  <si>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</si>
  <si>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</si>
  <si>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</si>
  <si>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</si>
  <si>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</si>
  <si>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</si>
  <si>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</si>
  <si>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</si>
  <si>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</si>
  <si>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</si>
  <si>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</si>
  <si>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</si>
  <si>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</si>
  <si>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</si>
  <si>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</si>
  <si>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</si>
  <si>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</si>
  <si>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</si>
  <si>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</si>
  <si>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</si>
  <si>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</si>
  <si>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</si>
  <si>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</si>
  <si>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</si>
  <si>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</si>
  <si>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</si>
  <si>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</si>
  <si>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</si>
  <si>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</si>
  <si>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</si>
  <si>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</si>
  <si>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</si>
  <si>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</si>
  <si>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</si>
  <si>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</si>
  <si>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</si>
  <si>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</si>
  <si>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</si>
  <si>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</si>
  <si>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</si>
  <si>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</si>
  <si>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</si>
  <si>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</si>
  <si>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</si>
  <si>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</si>
  <si>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</si>
  <si>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</si>
  <si>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</si>
  <si>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</si>
  <si>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</si>
  <si>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</si>
  <si>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</si>
  <si>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</si>
  <si>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</si>
  <si>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</si>
  <si>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</si>
  <si>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</si>
  <si>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</si>
  <si>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</si>
  <si>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</si>
  <si>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</si>
  <si>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</si>
  <si>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</si>
  <si>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</si>
  <si>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</si>
  <si>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</si>
  <si>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</si>
  <si>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</si>
  <si>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</si>
  <si>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</si>
  <si>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</si>
  <si>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</si>
  <si>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</si>
  <si>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</si>
  <si>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</si>
  <si>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</si>
  <si>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</si>
  <si>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</si>
  <si>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</si>
  <si>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</si>
  <si>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</si>
  <si>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</si>
  <si>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</si>
  <si>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</si>
  <si>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</si>
  <si>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</si>
  <si>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</si>
  <si>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</si>
  <si>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</si>
  <si>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</si>
  <si>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</si>
  <si>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</si>
  <si>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</si>
  <si>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</si>
  <si>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</si>
  <si>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</si>
  <si>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</si>
  <si>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</si>
  <si>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</si>
  <si>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</si>
  <si>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</si>
  <si>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</si>
  <si>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</si>
  <si>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</si>
  <si>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</si>
  <si>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</si>
  <si>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</si>
  <si>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</si>
  <si>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</si>
  <si>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</si>
  <si>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</si>
  <si>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</si>
  <si>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</si>
  <si>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</si>
  <si>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</si>
  <si>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</si>
  <si>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</si>
  <si>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</si>
  <si>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</si>
  <si>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</si>
  <si>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</si>
  <si>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</si>
  <si>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</si>
  <si>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</si>
  <si>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</si>
  <si>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</si>
  <si>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</si>
  <si>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</si>
  <si>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</si>
  <si>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</si>
  <si>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</si>
  <si>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</si>
  <si>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</si>
  <si>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</si>
  <si>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</si>
  <si>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</si>
  <si>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</si>
  <si>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</si>
  <si>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</si>
  <si>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</si>
  <si>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</si>
  <si>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</si>
  <si>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</si>
  <si>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</si>
  <si>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</si>
  <si>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</si>
  <si>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</si>
  <si>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</si>
  <si>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</si>
  <si>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</si>
  <si>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</si>
  <si>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</si>
  <si>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</si>
  <si>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</si>
  <si>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</si>
  <si>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</si>
  <si>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</si>
  <si>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</si>
  <si>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</si>
  <si>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</si>
  <si>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</si>
  <si>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</si>
  <si>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</si>
  <si>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</si>
  <si>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</si>
  <si>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</si>
  <si>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</si>
  <si>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</si>
  <si>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</si>
  <si>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</si>
  <si>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</si>
  <si>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</si>
  <si>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</si>
  <si>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</si>
  <si>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</si>
  <si>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</si>
  <si>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</si>
  <si>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</si>
  <si>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</si>
  <si>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</si>
  <si>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</si>
  <si>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</si>
  <si>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</si>
  <si>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</si>
  <si>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</si>
  <si>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</si>
  <si>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</si>
  <si>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</si>
  <si>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</si>
  <si>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</si>
  <si>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</si>
  <si>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</si>
  <si>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</si>
  <si>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</si>
  <si>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</si>
  <si>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</si>
  <si>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</si>
  <si>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</si>
  <si>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</si>
  <si>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</si>
  <si>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</si>
  <si>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</si>
  <si>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</si>
  <si>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</si>
  <si>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</si>
  <si>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</si>
  <si>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</si>
  <si>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</si>
  <si>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</si>
  <si>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</si>
  <si>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</si>
  <si>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</si>
  <si>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</si>
  <si>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</si>
  <si>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</si>
  <si>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</si>
  <si>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</si>
  <si>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</si>
  <si>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</si>
  <si>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</si>
  <si>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</si>
  <si>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</si>
  <si>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</si>
  <si>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</si>
  <si>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</si>
  <si>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</si>
  <si>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</si>
  <si>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</si>
  <si>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</si>
  <si>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</si>
  <si>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</si>
  <si>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</si>
  <si>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</si>
  <si>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</si>
  <si>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</si>
  <si>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</si>
  <si>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</si>
  <si>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</si>
  <si>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</si>
  <si>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</si>
  <si>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</si>
  <si>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</si>
  <si>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</si>
  <si>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</si>
  <si>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</si>
  <si>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</si>
  <si>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</si>
  <si>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</si>
  <si>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</si>
  <si>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</si>
  <si>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</si>
  <si>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</si>
  <si>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</si>
  <si>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</si>
  <si>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</si>
  <si>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</si>
  <si>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</si>
  <si>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</si>
  <si>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</si>
  <si>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</si>
  <si>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</si>
  <si>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</si>
  <si>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</si>
  <si>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</si>
  <si>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</si>
  <si>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</si>
  <si>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</si>
  <si>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</si>
  <si>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</si>
  <si>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</si>
  <si>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</si>
  <si>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</si>
  <si>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</si>
  <si>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</si>
  <si>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</si>
  <si>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</si>
  <si>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</si>
  <si>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</si>
  <si>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</si>
  <si>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</si>
  <si>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</si>
  <si>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</si>
  <si>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</si>
  <si>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</si>
  <si>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</si>
  <si>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</si>
  <si>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</si>
  <si>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</si>
  <si>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</si>
  <si>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</si>
  <si>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</si>
  <si>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</si>
  <si>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</si>
  <si>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</si>
  <si>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</si>
  <si>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</si>
  <si>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</si>
  <si>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</si>
  <si>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</si>
  <si>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</si>
  <si>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</si>
  <si>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</si>
  <si>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</si>
  <si>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</si>
  <si>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</si>
  <si>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</si>
  <si>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</si>
  <si>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</si>
  <si>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</si>
  <si>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</si>
  <si>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</si>
  <si>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</si>
  <si>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</si>
  <si>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</si>
  <si>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</si>
  <si>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</si>
  <si>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</si>
  <si>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</si>
  <si>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</si>
  <si>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</si>
  <si>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</si>
  <si>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</si>
  <si>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</si>
  <si>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</si>
  <si>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</si>
  <si>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</si>
  <si>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</si>
  <si>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</si>
  <si>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</si>
  <si>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</si>
  <si>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</si>
  <si>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</si>
  <si>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</si>
  <si>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</si>
  <si>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</si>
  <si>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</si>
  <si>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</si>
  <si>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</si>
  <si>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</si>
  <si>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</si>
  <si>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</si>
  <si>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</si>
  <si>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</si>
  <si>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</si>
  <si>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</si>
  <si>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</si>
  <si>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</si>
  <si>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</si>
  <si>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</si>
  <si>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</si>
  <si>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</si>
  <si>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</si>
  <si>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</si>
  <si>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</si>
  <si>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</si>
  <si>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</si>
  <si>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</si>
  <si>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</si>
  <si>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</si>
  <si>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</si>
  <si>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</si>
  <si>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</si>
  <si>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</si>
  <si>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</si>
  <si>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</si>
  <si>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</si>
  <si>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</si>
  <si>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</si>
  <si>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</si>
  <si>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</si>
  <si>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</si>
  <si>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</si>
  <si>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</si>
  <si>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</si>
  <si>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</si>
  <si>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</si>
  <si>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</si>
  <si>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</si>
  <si>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</si>
  <si>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</si>
  <si>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</si>
  <si>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</si>
  <si>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</si>
  <si>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</si>
  <si>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</si>
  <si>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</si>
  <si>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</si>
  <si>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</si>
  <si>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</si>
  <si>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</si>
  <si>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</si>
  <si>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</si>
  <si>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</si>
  <si>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</si>
  <si>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</si>
  <si>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</si>
  <si>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</si>
  <si>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</si>
  <si>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</si>
  <si>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</si>
  <si>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</si>
  <si>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</si>
  <si>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</si>
  <si>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</si>
  <si>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</si>
  <si>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</si>
  <si>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</si>
  <si>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</si>
  <si>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</si>
  <si>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</si>
  <si>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</si>
  <si>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</si>
  <si>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</si>
  <si>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</si>
  <si>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</si>
  <si>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</si>
  <si>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</si>
  <si>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</si>
  <si>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</si>
  <si>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</si>
  <si>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</si>
  <si>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</si>
  <si>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</si>
  <si>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</si>
  <si>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</si>
  <si>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</si>
  <si>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</si>
  <si>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</si>
  <si>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</si>
  <si>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</si>
  <si>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</si>
  <si>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</si>
  <si>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</si>
  <si>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</si>
  <si>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</si>
  <si>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</si>
  <si>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</si>
  <si>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</si>
  <si>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</si>
  <si>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</si>
  <si>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</si>
  <si>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</si>
  <si>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</si>
  <si>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</si>
  <si>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</si>
  <si>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</si>
  <si>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</si>
  <si>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</si>
  <si>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</si>
  <si>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</si>
  <si>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</si>
  <si>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</si>
  <si>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</si>
  <si>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</si>
  <si>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</si>
  <si>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</si>
  <si>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</si>
  <si>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</si>
  <si>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</si>
  <si>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</si>
  <si>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</si>
  <si>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</si>
  <si>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</si>
  <si>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</si>
  <si>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</si>
  <si>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</si>
  <si>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</si>
  <si>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</si>
  <si>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</si>
  <si>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</si>
  <si>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</si>
  <si>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</si>
  <si>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</si>
  <si>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</si>
  <si>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</si>
  <si>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</si>
  <si>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</si>
  <si>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</si>
  <si>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</si>
  <si>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</si>
  <si>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</si>
  <si>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</si>
  <si>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</si>
  <si>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</si>
  <si>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</si>
  <si>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</si>
  <si>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</si>
  <si>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</si>
  <si>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</si>
  <si>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</si>
  <si>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</si>
  <si>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</si>
  <si>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</si>
  <si>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</si>
  <si>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</si>
  <si>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</si>
  <si>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</si>
  <si>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</si>
  <si>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</si>
  <si>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</si>
  <si>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</si>
  <si>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</si>
  <si>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</si>
  <si>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</si>
  <si>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</si>
  <si>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</si>
  <si>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</si>
  <si>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</si>
  <si>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</si>
  <si>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</si>
  <si>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</si>
  <si>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</si>
  <si>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</si>
  <si>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</si>
  <si>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</si>
  <si>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</si>
  <si>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</si>
  <si>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</si>
  <si>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</si>
  <si>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</si>
  <si>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</si>
  <si>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</si>
  <si>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</si>
  <si>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</si>
  <si>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</si>
  <si>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</si>
  <si>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</si>
  <si>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</si>
  <si>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</si>
  <si>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</si>
  <si>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</si>
  <si>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</si>
  <si>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</si>
  <si>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</si>
  <si>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</si>
  <si>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</si>
  <si>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</si>
  <si>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</si>
  <si>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</si>
  <si>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</si>
  <si>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</si>
  <si>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</si>
  <si>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</si>
  <si>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</si>
  <si>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</si>
  <si>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</si>
  <si>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</si>
  <si>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</si>
  <si>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</si>
  <si>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</si>
  <si>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</si>
  <si>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</si>
  <si>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</si>
  <si>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</si>
  <si>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</si>
  <si>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</si>
  <si>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</si>
  <si>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</si>
  <si>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</si>
  <si>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</si>
  <si>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</si>
  <si>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</si>
  <si>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</si>
  <si>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</si>
  <si>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</si>
  <si>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</si>
  <si>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</si>
  <si>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</si>
  <si>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</si>
  <si>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</si>
  <si>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</si>
  <si>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</si>
  <si>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</si>
  <si>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</si>
  <si>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</si>
  <si>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</si>
  <si>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</si>
  <si>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</si>
  <si>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</si>
  <si>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</si>
  <si>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</si>
  <si>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</si>
  <si>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</si>
  <si>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</si>
  <si>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</si>
  <si>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</si>
  <si>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</si>
  <si>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</si>
  <si>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</si>
  <si>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</si>
  <si>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</si>
  <si>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</si>
  <si>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</si>
  <si>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</si>
  <si>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</si>
  <si>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</si>
  <si>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</si>
  <si>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</si>
  <si>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</si>
  <si>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</si>
  <si>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</si>
  <si>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</si>
  <si>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</si>
  <si>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</si>
  <si>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</si>
  <si>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</si>
  <si>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</si>
  <si>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</si>
  <si>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</si>
  <si>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</si>
  <si>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</si>
  <si>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</si>
  <si>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</si>
  <si>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</si>
  <si>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</si>
  <si>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</si>
  <si>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</si>
  <si>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</si>
  <si>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</si>
  <si>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</si>
  <si>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</si>
  <si>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</si>
  <si>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</si>
  <si>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</si>
  <si>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</si>
  <si>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</si>
  <si>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</si>
  <si>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</si>
  <si>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</si>
  <si>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</si>
  <si>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</si>
  <si>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</si>
  <si>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</si>
  <si>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</si>
  <si>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</si>
  <si>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</si>
  <si>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</si>
  <si>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</si>
  <si>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</si>
  <si>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</si>
  <si>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</si>
  <si>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</si>
  <si>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</si>
  <si>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</si>
  <si>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</si>
  <si>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</si>
  <si>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</si>
  <si>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</si>
  <si>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</si>
  <si>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</si>
  <si>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</si>
  <si>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</si>
  <si>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</si>
  <si>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</si>
  <si>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</si>
  <si>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</si>
  <si>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</si>
  <si>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</si>
  <si>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</si>
  <si>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</si>
  <si>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</si>
  <si>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</si>
  <si>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</si>
  <si>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</si>
  <si>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</si>
  <si>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</si>
  <si>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</si>
  <si>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</si>
  <si>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</si>
  <si>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</si>
  <si>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</si>
  <si>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</si>
  <si>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</si>
  <si>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</si>
  <si>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</si>
  <si>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</si>
  <si>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</si>
  <si>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</si>
  <si>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</si>
  <si>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</si>
  <si>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</si>
  <si>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</si>
  <si>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</si>
  <si>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</si>
  <si>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</si>
  <si>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</si>
  <si>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</si>
  <si>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</si>
  <si>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</si>
  <si>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</si>
  <si>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</si>
  <si>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</si>
  <si>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</si>
  <si>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</si>
  <si>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</si>
  <si>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</si>
  <si>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</si>
  <si>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</si>
  <si>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</si>
  <si>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</si>
  <si>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</si>
  <si>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</si>
  <si>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</si>
  <si>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</si>
  <si>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</si>
  <si>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</si>
  <si>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</si>
  <si>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</si>
  <si>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</si>
  <si>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</si>
  <si>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</si>
  <si>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</si>
  <si>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</si>
  <si>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</si>
  <si>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</si>
  <si>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</si>
  <si>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</si>
  <si>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</si>
  <si>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</si>
  <si>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</si>
  <si>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</si>
  <si>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</si>
  <si>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</si>
  <si>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</si>
  <si>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</si>
  <si>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</si>
  <si>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</si>
  <si>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</si>
  <si>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</si>
  <si>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</si>
  <si>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</si>
  <si>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</si>
  <si>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</si>
  <si>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</si>
  <si>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</si>
  <si>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</si>
  <si>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</si>
  <si>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</si>
  <si>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</si>
  <si>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</si>
  <si>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</si>
  <si>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</si>
  <si>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</si>
  <si>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</si>
  <si>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</si>
  <si>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</si>
  <si>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</si>
  <si>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</si>
  <si>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</si>
  <si>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</si>
  <si>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</si>
  <si>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</si>
  <si>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</si>
  <si>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</si>
  <si>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</si>
  <si>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</si>
  <si>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</si>
  <si>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</si>
  <si>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</si>
  <si>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</si>
  <si>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</si>
  <si>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</si>
  <si>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</si>
  <si>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</si>
  <si>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</si>
  <si>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</si>
  <si>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</si>
  <si>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</si>
  <si>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</si>
  <si>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</si>
  <si>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</si>
  <si>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</si>
  <si>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</si>
  <si>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</si>
  <si>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</si>
  <si>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</si>
  <si>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</si>
  <si>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</si>
  <si>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</si>
  <si>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</si>
  <si>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</si>
  <si>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</si>
  <si>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</si>
  <si>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</si>
  <si>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</si>
  <si>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</si>
  <si>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</si>
  <si>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</si>
  <si>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</si>
  <si>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</si>
  <si>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</si>
  <si>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</si>
  <si>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</si>
  <si>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</si>
  <si>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</si>
  <si>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</si>
  <si>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</si>
  <si>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</si>
  <si>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</si>
  <si>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</si>
  <si>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</si>
  <si>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</si>
  <si>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</si>
  <si>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</si>
  <si>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</si>
  <si>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</si>
  <si>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</si>
  <si>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</si>
  <si>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</si>
  <si>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</si>
  <si>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</si>
  <si>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</si>
  <si>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</si>
  <si>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</si>
  <si>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</si>
  <si>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</si>
  <si>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</si>
  <si>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</si>
  <si>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</si>
  <si>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</si>
  <si>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</si>
  <si>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</si>
  <si>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</si>
  <si>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</si>
  <si>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</si>
  <si>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</si>
  <si>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</si>
  <si>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</si>
  <si>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</si>
  <si>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</si>
  <si>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</si>
  <si>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</si>
  <si>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</si>
  <si>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</si>
  <si>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</si>
  <si>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</si>
  <si>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</si>
  <si>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</si>
  <si>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</si>
  <si>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</si>
  <si>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</si>
  <si>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</si>
  <si>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</si>
  <si>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</si>
  <si>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</si>
  <si>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</si>
  <si>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</si>
  <si>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</si>
  <si>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</si>
  <si>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</si>
  <si>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</si>
  <si>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</si>
  <si>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</si>
  <si>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</si>
  <si>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</si>
  <si>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</si>
  <si>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</si>
  <si>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</si>
  <si>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</si>
  <si>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</si>
  <si>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</si>
  <si>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</si>
  <si>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</si>
  <si>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</si>
  <si>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</si>
  <si>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</si>
  <si>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</si>
  <si>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</si>
  <si>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</si>
  <si>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</si>
  <si>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</si>
  <si>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</si>
  <si>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</si>
  <si>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</si>
  <si>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</si>
  <si>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</si>
  <si>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</si>
  <si>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</si>
  <si>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</si>
  <si>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</si>
  <si>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</si>
  <si>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</si>
  <si>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</si>
  <si>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</si>
  <si>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</si>
  <si>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</si>
  <si>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</si>
  <si>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</si>
  <si>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</si>
  <si>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</si>
  <si>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</si>
  <si>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</si>
  <si>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</si>
  <si>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</si>
  <si>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</si>
  <si>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</si>
  <si>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</si>
  <si>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</si>
  <si>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</si>
  <si>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</si>
  <si>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</si>
  <si>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</si>
  <si>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</si>
  <si>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</si>
  <si>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</si>
  <si>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</si>
  <si>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</si>
  <si>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</si>
  <si>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</si>
  <si>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</si>
  <si>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</si>
  <si>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</si>
  <si>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</si>
  <si>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</si>
  <si>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</si>
  <si>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</si>
  <si>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</si>
  <si>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</si>
  <si>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</si>
  <si>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</si>
  <si>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</si>
  <si>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</si>
  <si>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</si>
  <si>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</si>
  <si>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</si>
  <si>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</si>
  <si>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</si>
  <si>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</si>
  <si>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</si>
  <si>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</si>
  <si>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</si>
  <si>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</si>
  <si>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</si>
  <si>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</si>
  <si>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</si>
  <si>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</si>
  <si>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</si>
  <si>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</si>
  <si>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</si>
  <si>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</si>
  <si>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</si>
  <si>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</si>
  <si>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</si>
  <si>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</si>
  <si>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</si>
  <si>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</si>
  <si>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</si>
  <si>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</si>
  <si>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</si>
  <si>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</si>
  <si>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</si>
  <si>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</si>
  <si>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</si>
  <si>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</si>
  <si>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</si>
  <si>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</si>
  <si>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</si>
  <si>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</si>
  <si>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</si>
  <si>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</si>
  <si>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</si>
  <si>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</si>
  <si>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</si>
  <si>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</si>
  <si>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</si>
  <si>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</si>
  <si>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</si>
  <si>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</si>
  <si>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</si>
  <si>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</si>
  <si>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</si>
  <si>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</si>
  <si>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</si>
  <si>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</si>
  <si>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</si>
  <si>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</si>
  <si>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</si>
  <si>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</si>
  <si>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</si>
  <si>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</si>
  <si>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</si>
  <si>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</si>
  <si>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</si>
  <si>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</si>
  <si>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</si>
  <si>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</si>
  <si>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</si>
  <si>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</si>
  <si>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</si>
  <si>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</si>
  <si>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</si>
  <si>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</si>
  <si>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</si>
  <si>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</si>
  <si>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</si>
  <si>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</si>
  <si>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</si>
  <si>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</si>
  <si>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</si>
  <si>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</si>
  <si>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</si>
  <si>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</si>
  <si>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</si>
  <si>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</si>
  <si>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</si>
  <si>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</si>
  <si>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</si>
  <si>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</si>
  <si>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</si>
  <si>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</si>
  <si>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</si>
  <si>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</si>
  <si>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</si>
  <si>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</si>
  <si>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</si>
  <si>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</si>
  <si>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</si>
  <si>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</si>
  <si>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</si>
  <si>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</si>
  <si>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</si>
  <si>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</si>
  <si>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</si>
  <si>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</si>
  <si>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</si>
  <si>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</si>
  <si>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</si>
  <si>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</si>
  <si>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</si>
  <si>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</si>
  <si>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</si>
  <si>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</si>
  <si>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</si>
  <si>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</si>
  <si>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</si>
  <si>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</si>
  <si>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</si>
  <si>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</si>
  <si>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</si>
  <si>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</si>
  <si>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</si>
  <si>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</si>
  <si>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</si>
  <si>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</si>
  <si>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</si>
  <si>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</si>
  <si>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</si>
  <si>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</si>
  <si>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</si>
  <si>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</si>
  <si>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</si>
  <si>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</si>
  <si>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</si>
  <si>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</si>
  <si>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</si>
  <si>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</si>
  <si>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</si>
  <si>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</si>
  <si>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</si>
  <si>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</si>
  <si>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</si>
  <si>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</si>
  <si>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</si>
  <si>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</si>
  <si>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</si>
  <si>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</si>
  <si>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</si>
  <si>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</si>
  <si>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</si>
  <si>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</si>
  <si>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</si>
  <si>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</si>
  <si>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</si>
  <si>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</si>
  <si>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</si>
  <si>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</si>
  <si>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</si>
  <si>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</si>
  <si>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</si>
  <si>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</si>
  <si>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</si>
  <si>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</si>
  <si>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</si>
  <si>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</si>
  <si>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</si>
  <si>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</si>
  <si>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</si>
  <si>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</si>
  <si>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</si>
  <si>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</si>
  <si>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</si>
  <si>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</si>
  <si>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</si>
  <si>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</si>
  <si>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</si>
  <si>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</si>
  <si>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</si>
  <si>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</si>
  <si>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</si>
  <si>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</si>
  <si>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</si>
  <si>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</si>
  <si>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</si>
  <si>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</si>
  <si>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</si>
  <si>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</si>
  <si>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</si>
  <si>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</si>
  <si>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</si>
  <si>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</si>
  <si>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</si>
  <si>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</si>
  <si>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</si>
  <si>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</si>
  <si>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</si>
  <si>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</si>
  <si>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</si>
  <si>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</si>
  <si>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</si>
  <si>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</si>
  <si>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</si>
  <si>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</si>
  <si>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</si>
  <si>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</si>
  <si>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</si>
  <si>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</si>
  <si>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</si>
  <si>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</si>
  <si>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</si>
  <si>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</si>
  <si>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</si>
  <si>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</si>
  <si>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</si>
  <si>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</si>
  <si>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</si>
  <si>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</si>
  <si>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</si>
  <si>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</si>
  <si>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</si>
  <si>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</si>
  <si>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</si>
  <si>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</si>
  <si>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</si>
  <si>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</si>
  <si>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</si>
  <si>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</si>
  <si>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</si>
  <si>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</si>
  <si>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</si>
  <si>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</si>
  <si>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</si>
  <si>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</si>
  <si>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</si>
  <si>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</si>
  <si>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</si>
  <si>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</si>
  <si>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</si>
  <si>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</si>
  <si>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</si>
  <si>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</si>
  <si>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</si>
  <si>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</si>
  <si>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</si>
  <si>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</si>
  <si>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</si>
  <si>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</si>
  <si>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</si>
  <si>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</si>
  <si>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</si>
  <si>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</si>
  <si>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</si>
  <si>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</si>
  <si>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</si>
  <si>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</si>
  <si>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</si>
  <si>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</si>
  <si>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</si>
  <si>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</si>
  <si>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</si>
  <si>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</si>
  <si>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</si>
  <si>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</si>
  <si>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</si>
  <si>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</si>
  <si>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</si>
  <si>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</si>
  <si>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</si>
  <si>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</si>
  <si>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</si>
  <si>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</si>
  <si>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</si>
  <si>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</si>
  <si>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</si>
  <si>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</si>
  <si>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</si>
  <si>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</si>
  <si>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</si>
  <si>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</si>
  <si>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</si>
  <si>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</si>
  <si>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</si>
  <si>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</si>
  <si>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</si>
  <si>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</si>
  <si>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</si>
  <si>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</si>
  <si>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</si>
  <si>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</si>
  <si>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</si>
  <si>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</si>
  <si>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</si>
  <si>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</si>
  <si>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</si>
  <si>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</si>
  <si>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</si>
  <si>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</si>
  <si>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</si>
  <si>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</si>
  <si>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</si>
  <si>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</si>
  <si>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</si>
  <si>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</si>
  <si>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</si>
  <si>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</si>
  <si>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</si>
  <si>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</si>
  <si>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</si>
  <si>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</si>
  <si>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</si>
  <si>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</si>
  <si>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</si>
  <si>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</si>
  <si>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</si>
  <si>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</si>
  <si>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</si>
  <si>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</si>
  <si>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</si>
  <si>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</si>
  <si>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</si>
  <si>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</si>
  <si>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</si>
  <si>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</si>
  <si>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</si>
  <si>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</si>
  <si>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</si>
  <si>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</si>
  <si>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</si>
  <si>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</si>
  <si>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</si>
  <si>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</si>
  <si>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</si>
  <si>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</si>
  <si>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</si>
  <si>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</si>
  <si>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</si>
  <si>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</si>
  <si>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</si>
  <si>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</si>
  <si>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</si>
  <si>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</si>
  <si>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</si>
  <si>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</si>
  <si>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</si>
  <si>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</si>
  <si>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</si>
  <si>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</si>
  <si>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</si>
  <si>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</si>
  <si>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</si>
  <si>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</si>
  <si>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</si>
  <si>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</si>
  <si>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</si>
  <si>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</si>
  <si>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</si>
  <si>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</si>
  <si>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</si>
  <si>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</si>
  <si>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</si>
  <si>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</si>
  <si>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</si>
  <si>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</si>
  <si>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</si>
  <si>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</si>
  <si>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</si>
  <si>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</si>
  <si>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</si>
  <si>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</si>
  <si>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</si>
  <si>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</si>
  <si>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</si>
  <si>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</si>
  <si>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</si>
  <si>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</si>
  <si>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</si>
  <si>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</si>
  <si>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</si>
  <si>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</si>
  <si>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</si>
  <si>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</si>
  <si>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</si>
  <si>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</si>
  <si>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</si>
  <si>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</si>
  <si>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</si>
  <si>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</si>
  <si>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</si>
  <si>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</si>
  <si>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</si>
  <si>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</si>
  <si>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</si>
  <si>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</si>
  <si>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</si>
  <si>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</si>
  <si>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</si>
  <si>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</si>
  <si>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</si>
  <si>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</si>
  <si>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</si>
  <si>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</si>
  <si>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</si>
  <si>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</si>
  <si>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</si>
  <si>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</si>
  <si>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</si>
  <si>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</si>
  <si>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</si>
  <si>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</si>
  <si>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</si>
  <si>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</si>
  <si>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</si>
  <si>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</si>
  <si>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</si>
  <si>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</si>
  <si>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</si>
  <si>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</si>
  <si>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</si>
  <si>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</si>
  <si>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</si>
  <si>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</si>
  <si>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</si>
  <si>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</si>
  <si>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</si>
  <si>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</si>
  <si>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</si>
  <si>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</si>
  <si>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</si>
  <si>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</si>
  <si>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</si>
  <si>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</si>
  <si>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</si>
  <si>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</si>
  <si>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</si>
  <si>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</si>
  <si>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</si>
  <si>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</si>
  <si>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</si>
  <si>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</si>
  <si>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</si>
  <si>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</si>
  <si>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</si>
  <si>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</si>
  <si>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</si>
  <si>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</si>
  <si>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</si>
  <si>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</si>
  <si>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</si>
  <si>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</si>
  <si>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</si>
  <si>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</si>
  <si>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</si>
  <si>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</si>
  <si>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</si>
  <si>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</si>
  <si>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</si>
  <si>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</si>
  <si>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</si>
  <si>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</si>
  <si>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</si>
  <si>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</si>
  <si>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</si>
  <si>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</si>
  <si>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</si>
  <si>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</si>
  <si>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</si>
  <si>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</si>
  <si>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</si>
  <si>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</si>
  <si>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</si>
  <si>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</si>
  <si>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</si>
  <si>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</si>
  <si>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</si>
  <si>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</si>
  <si>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</si>
  <si>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</si>
  <si>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</si>
  <si>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</si>
  <si>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</si>
  <si>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</si>
  <si>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</si>
  <si>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</si>
  <si>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</si>
  <si>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</si>
  <si>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</si>
  <si>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</si>
  <si>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</si>
  <si>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</si>
  <si>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</si>
  <si>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</si>
  <si>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</si>
  <si>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</si>
  <si>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</si>
  <si>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</si>
  <si>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</si>
  <si>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</si>
  <si>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</si>
  <si>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</si>
  <si>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</si>
  <si>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</si>
  <si>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</si>
  <si>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</si>
  <si>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</si>
  <si>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</si>
  <si>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</si>
  <si>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</si>
  <si>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</si>
  <si>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</si>
  <si>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</si>
  <si>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</si>
  <si>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</si>
  <si>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</si>
  <si>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</si>
  <si>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</si>
  <si>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</si>
  <si>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</si>
  <si>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</si>
  <si>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</si>
  <si>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</si>
  <si>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</si>
  <si>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</si>
  <si>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</si>
  <si>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</si>
  <si>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</si>
  <si>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</si>
  <si>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</si>
  <si>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</si>
  <si>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</si>
  <si>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</si>
  <si>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</si>
  <si>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</si>
  <si>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</si>
  <si>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</si>
  <si>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</si>
  <si>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</si>
  <si>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</si>
  <si>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</si>
  <si>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</si>
  <si>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</si>
  <si>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</si>
  <si>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</si>
  <si>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</si>
  <si>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</si>
  <si>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</si>
  <si>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</si>
  <si>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</si>
  <si>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</si>
  <si>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</si>
  <si>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</si>
  <si>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</si>
  <si>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</si>
  <si>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</si>
  <si>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</si>
  <si>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</si>
  <si>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</si>
  <si>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</si>
  <si>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</si>
  <si>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</si>
  <si>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</si>
  <si>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</si>
  <si>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</si>
  <si>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</si>
  <si>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</si>
  <si>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</si>
  <si>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</si>
  <si>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</si>
  <si>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</si>
  <si>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</si>
  <si>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</si>
  <si>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</si>
  <si>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</si>
  <si>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</si>
  <si>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</si>
  <si>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</si>
  <si>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</si>
  <si>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</si>
  <si>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</si>
  <si>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</si>
  <si>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</si>
  <si>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</si>
  <si>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</si>
  <si>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</si>
  <si>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</si>
  <si>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</si>
  <si>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</si>
  <si>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</si>
  <si>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</si>
  <si>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</si>
  <si>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</si>
  <si>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</si>
  <si>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</si>
  <si>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</si>
  <si>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</si>
  <si>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</si>
  <si>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</si>
  <si>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</si>
  <si>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</si>
  <si>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</si>
  <si>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</si>
  <si>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</si>
  <si>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</si>
  <si>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</si>
  <si>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</si>
  <si>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</si>
  <si>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</si>
  <si>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</si>
  <si>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</si>
  <si>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</si>
  <si>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</si>
  <si>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</si>
  <si>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</si>
  <si>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</si>
  <si>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</si>
  <si>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</si>
  <si>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</si>
  <si>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</si>
  <si>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</si>
  <si>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</si>
  <si>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</si>
  <si>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</si>
  <si>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</si>
  <si>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</si>
  <si>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</si>
  <si>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</si>
  <si>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</si>
  <si>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</si>
  <si>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</si>
  <si>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</si>
  <si>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</si>
  <si>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</si>
  <si>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</si>
  <si>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</si>
  <si>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</si>
  <si>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</si>
  <si>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</si>
  <si>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</si>
  <si>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</si>
  <si>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</si>
  <si>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</si>
  <si>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</si>
  <si>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</si>
  <si>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</si>
  <si>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</si>
  <si>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</si>
  <si>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</si>
  <si>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</si>
  <si>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</si>
  <si>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</si>
  <si>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</si>
  <si>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</si>
  <si>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</si>
  <si>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</si>
  <si>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</si>
  <si>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</si>
  <si>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</si>
  <si>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</si>
  <si>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</si>
  <si>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</si>
  <si>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</si>
  <si>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</si>
  <si>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</si>
  <si>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</si>
  <si>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</si>
  <si>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</si>
  <si>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</si>
  <si>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</si>
  <si>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</si>
  <si>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</si>
  <si>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</si>
  <si>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</si>
  <si>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</si>
  <si>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</si>
  <si>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</si>
  <si>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</si>
  <si>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</si>
  <si>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</si>
  <si>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</si>
  <si>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</si>
  <si>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</si>
  <si>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</si>
  <si>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</si>
  <si>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</si>
  <si>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</si>
  <si>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</si>
  <si>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</si>
  <si>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</si>
  <si>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</si>
  <si>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</si>
  <si>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</si>
  <si>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</si>
  <si>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</si>
  <si>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</si>
  <si>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</si>
  <si>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</si>
  <si>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</si>
  <si>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</si>
  <si>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</si>
  <si>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</si>
  <si>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</si>
  <si>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</si>
  <si>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</si>
  <si>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</si>
  <si>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</si>
  <si>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</si>
  <si>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</si>
  <si>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</si>
  <si>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</si>
  <si>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</si>
  <si>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</si>
  <si>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</si>
  <si>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</si>
  <si>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</si>
  <si>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</si>
  <si>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</si>
  <si>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</si>
  <si>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</si>
  <si>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</si>
  <si>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</si>
  <si>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</si>
  <si>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</si>
  <si>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</si>
  <si>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</si>
  <si>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</si>
  <si>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</si>
  <si>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</si>
  <si>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</si>
  <si>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</si>
  <si>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</si>
  <si>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</si>
  <si>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</si>
  <si>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</si>
  <si>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</si>
  <si>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</si>
  <si>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</si>
  <si>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</si>
  <si>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</si>
  <si>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</si>
  <si>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</si>
  <si>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</si>
  <si>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</si>
  <si>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</si>
  <si>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</si>
  <si>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</si>
  <si>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</si>
  <si>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</si>
  <si>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</si>
  <si>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</si>
  <si>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</si>
  <si>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</si>
  <si>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</si>
  <si>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</si>
  <si>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</si>
  <si>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</si>
  <si>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</si>
  <si>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</si>
  <si>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</si>
  <si>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</si>
  <si>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</si>
  <si>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</si>
  <si>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</si>
  <si>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</si>
  <si>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</si>
  <si>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</si>
  <si>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</si>
  <si>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</si>
  <si>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</si>
  <si>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</si>
  <si>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</si>
  <si>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</si>
  <si>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</si>
  <si>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</si>
  <si>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</si>
  <si>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</si>
  <si>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</si>
  <si>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</si>
  <si>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</si>
  <si>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</si>
  <si>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</si>
  <si>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</si>
  <si>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</si>
  <si>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</si>
  <si>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</si>
  <si>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اولی 4/8/1398 و دومی 11/8/1398</t>
  </si>
  <si>
    <t>15/7/1398</t>
  </si>
  <si>
    <t>16/7/1398</t>
  </si>
  <si>
    <t>وغدیر 785 تا 295.4</t>
  </si>
  <si>
    <t>نوسانگیری روی سهام وغدیر</t>
  </si>
  <si>
    <t>وغدیر 773 تا 296.2</t>
  </si>
  <si>
    <t>زاگرس 223 تا 6722.1</t>
  </si>
  <si>
    <t>پارس 1084 تا 4317.3</t>
  </si>
  <si>
    <t>واریز 1.3 میلیون حساب علی و 230 هزار تومن حساب مریم</t>
  </si>
  <si>
    <t>17/7/1398</t>
  </si>
  <si>
    <t>واریز 230 هزار تومن حساب علی و برداشت 880000 تومن حساب مریم</t>
  </si>
  <si>
    <t>واریز 880000 تومن حساب علی</t>
  </si>
  <si>
    <t>کویر</t>
  </si>
  <si>
    <t>کویر 275 تا 625</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</si>
  <si>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</si>
  <si>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</si>
  <si>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</si>
  <si>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</si>
  <si>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</si>
  <si>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</si>
  <si>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دتوزیع</t>
  </si>
  <si>
    <t>دتوزیع 65 تا 2300</t>
  </si>
  <si>
    <t>علی به حاج خانوم داد</t>
  </si>
  <si>
    <t>طلب حاج خانوم</t>
  </si>
  <si>
    <t>مادر کاظم</t>
  </si>
  <si>
    <t>زاگرس 131 تا 6905</t>
  </si>
  <si>
    <t>زاگرس 195 تا 6948.4</t>
  </si>
  <si>
    <t>دریافت 3500000 تومن حساب علی واریز 4300000 تومن حساب مریم</t>
  </si>
  <si>
    <t>سود ایجاد شده تا 22/7/1398</t>
  </si>
  <si>
    <t>دریافت 1600000 تومن حساب علی و واریز 1600000 تومن حساب مریم</t>
  </si>
  <si>
    <t>وغدیر 16368 تا 310.3</t>
  </si>
  <si>
    <t>دریافت 800000 تومن حساب علی و 10000000 حساب مریم</t>
  </si>
  <si>
    <t>24/7/1398</t>
  </si>
  <si>
    <t>طلب علی از مهدی سهام  139165 تا وغدیر</t>
  </si>
  <si>
    <t>بازگشت اعتبار به کارگزاری</t>
  </si>
  <si>
    <t>زاگرس 25 تا 6870</t>
  </si>
  <si>
    <t>زاگرس 43 تا 6860.4</t>
  </si>
  <si>
    <t>زاگرس 44 تا 6850.3</t>
  </si>
  <si>
    <t>28/7/1398</t>
  </si>
  <si>
    <t>بدهی به رضا 1200دلار</t>
  </si>
  <si>
    <t>بدهی به رضا معادل 31884 تا وغدیر و 200 دلار 12100 تومن و 1000 یورو 13700 تومنی</t>
  </si>
  <si>
    <t>لنت چرخ عقب</t>
  </si>
  <si>
    <t>25/7/1398</t>
  </si>
  <si>
    <t>27/7/1398</t>
  </si>
  <si>
    <t>واریز 771000 تومن حساب مریم</t>
  </si>
  <si>
    <t>وغدیر 663 تا 300.6</t>
  </si>
  <si>
    <t>زاگرس 100 تا 6800.1</t>
  </si>
  <si>
    <t>زاگرس 100 تا 6756.2</t>
  </si>
  <si>
    <t>وغدیر 196282 تا 241.4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</si>
</sst>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G31" zoomScaleNormal="100" workbookViewId="0">
      <selection activeCell="P51" sqref="P51"/>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4913</v>
      </c>
      <c r="B1" s="213" t="s">
        <v>4914</v>
      </c>
      <c r="C1" s="189" t="s">
        <v>5166</v>
      </c>
      <c r="D1" s="189" t="s">
        <v>5133</v>
      </c>
      <c r="E1" s="213" t="s">
        <v>5131</v>
      </c>
      <c r="F1" s="213" t="s">
        <v>5132</v>
      </c>
      <c r="G1" s="213" t="s">
        <v>4924</v>
      </c>
      <c r="H1" s="213" t="s">
        <v>4923</v>
      </c>
      <c r="I1" s="213" t="s">
        <v>4265</v>
      </c>
      <c r="J1" s="56" t="s">
        <v>5029</v>
      </c>
      <c r="M1" t="s">
        <v>4916</v>
      </c>
      <c r="N1" t="s">
        <v>4920</v>
      </c>
      <c r="O1" t="s">
        <v>4921</v>
      </c>
    </row>
    <row r="2" spans="1:20">
      <c r="A2" s="197" t="s">
        <v>4915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4918</v>
      </c>
      <c r="B4" s="191">
        <v>560000000</v>
      </c>
      <c r="C4" s="189">
        <v>30</v>
      </c>
      <c r="D4" s="189">
        <f t="shared" si="0"/>
        <v>0.23333333333333334</v>
      </c>
      <c r="E4" s="191">
        <v>25</v>
      </c>
      <c r="F4" s="191">
        <f>B4*E4/$M$2</f>
        <v>0.19444444444444445</v>
      </c>
      <c r="G4" s="191"/>
      <c r="H4" s="191"/>
      <c r="I4" s="191">
        <v>300</v>
      </c>
      <c r="J4" s="191">
        <f>B4*I4/$M$2</f>
        <v>2.3333333333333335</v>
      </c>
    </row>
    <row r="5" spans="1:20">
      <c r="A5" s="191" t="s">
        <v>4919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4925</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5010</v>
      </c>
    </row>
    <row r="13" spans="1:20">
      <c r="A13" s="191" t="s">
        <v>4928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5008</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5000</v>
      </c>
      <c r="P14" s="18">
        <v>7500000</v>
      </c>
      <c r="Q14" s="99">
        <v>4</v>
      </c>
      <c r="R14" s="99"/>
      <c r="S14" s="96"/>
      <c r="T14" s="96"/>
    </row>
    <row r="15" spans="1:20">
      <c r="A15" s="191" t="s">
        <v>4929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5007</v>
      </c>
      <c r="P15" s="18">
        <v>-500000</v>
      </c>
      <c r="Q15" s="99">
        <v>7</v>
      </c>
      <c r="R15" s="99"/>
      <c r="S15" s="96"/>
      <c r="T15" s="96"/>
    </row>
    <row r="16" spans="1:20">
      <c r="A16" s="213"/>
      <c r="B16" s="213"/>
      <c r="C16" s="213"/>
      <c r="D16" s="213"/>
      <c r="E16" s="213"/>
      <c r="F16" s="213">
        <f t="shared" si="1"/>
        <v>0</v>
      </c>
      <c r="G16" s="213"/>
      <c r="H16" s="213">
        <f t="shared" si="2"/>
        <v>0</v>
      </c>
      <c r="I16" s="213"/>
      <c r="J16" s="213"/>
      <c r="O16" s="99" t="s">
        <v>5017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5023</v>
      </c>
      <c r="P17" s="18">
        <v>2000000</v>
      </c>
      <c r="Q17" s="99">
        <v>6</v>
      </c>
      <c r="R17" s="99"/>
      <c r="S17" s="96"/>
      <c r="T17" s="96"/>
    </row>
    <row r="18" spans="1:22">
      <c r="A18" s="213"/>
      <c r="B18" s="213"/>
      <c r="C18" s="213"/>
      <c r="D18" s="213"/>
      <c r="E18" s="213"/>
      <c r="F18" s="213">
        <f t="shared" si="1"/>
        <v>0</v>
      </c>
      <c r="G18" s="213"/>
      <c r="H18" s="213">
        <f t="shared" si="2"/>
        <v>0</v>
      </c>
      <c r="I18" s="213"/>
      <c r="J18" s="213"/>
      <c r="O18" s="99" t="s">
        <v>5041</v>
      </c>
      <c r="P18" s="18">
        <v>1000000</v>
      </c>
      <c r="Q18" s="99">
        <v>3</v>
      </c>
      <c r="R18" s="99"/>
      <c r="S18" s="96"/>
      <c r="T18" s="96"/>
    </row>
    <row r="19" spans="1:22">
      <c r="A19" s="213"/>
      <c r="B19" s="213"/>
      <c r="C19" s="213"/>
      <c r="D19" s="213"/>
      <c r="E19" s="213"/>
      <c r="F19" s="213">
        <f t="shared" si="1"/>
        <v>0</v>
      </c>
      <c r="G19" s="213"/>
      <c r="H19" s="213">
        <f t="shared" si="2"/>
        <v>0</v>
      </c>
      <c r="I19" s="213"/>
      <c r="J19" s="213"/>
      <c r="O19" s="99" t="s">
        <v>5056</v>
      </c>
      <c r="P19" s="18">
        <v>200000</v>
      </c>
      <c r="Q19" s="99">
        <v>3</v>
      </c>
      <c r="R19" s="99"/>
      <c r="S19" s="96"/>
      <c r="T19" s="96"/>
    </row>
    <row r="20" spans="1:22">
      <c r="A20" s="213"/>
      <c r="B20" s="213"/>
      <c r="C20" s="213"/>
      <c r="D20" s="213"/>
      <c r="E20" s="213"/>
      <c r="F20" s="213"/>
      <c r="G20" s="213"/>
      <c r="H20" s="213"/>
      <c r="I20" s="213"/>
      <c r="J20" s="213"/>
      <c r="L20" t="s">
        <v>25</v>
      </c>
      <c r="O20" s="99" t="s">
        <v>5059</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5075</v>
      </c>
      <c r="P21" s="18">
        <v>6000000</v>
      </c>
      <c r="Q21" s="99">
        <v>1</v>
      </c>
      <c r="R21" s="99"/>
      <c r="S21" s="96"/>
      <c r="T21" s="96"/>
    </row>
    <row r="22" spans="1:22">
      <c r="A22" s="213"/>
      <c r="B22" s="213"/>
      <c r="C22" s="213"/>
      <c r="D22" s="213" t="s">
        <v>6</v>
      </c>
      <c r="E22" s="213"/>
      <c r="F22" s="213" t="s">
        <v>6</v>
      </c>
      <c r="G22" s="213"/>
      <c r="H22" s="213"/>
      <c r="I22" s="213"/>
      <c r="J22" s="213" t="s">
        <v>4473</v>
      </c>
      <c r="O22" s="99" t="s">
        <v>5076</v>
      </c>
      <c r="P22" s="18">
        <v>2000000</v>
      </c>
      <c r="Q22" s="99">
        <v>3</v>
      </c>
      <c r="R22" s="99"/>
      <c r="S22" s="96"/>
      <c r="T22" s="96"/>
    </row>
    <row r="23" spans="1:22">
      <c r="A23" s="213"/>
      <c r="B23" s="213"/>
      <c r="C23" s="213"/>
      <c r="D23" s="213"/>
      <c r="E23" s="213"/>
      <c r="F23" s="213"/>
      <c r="G23" s="213"/>
      <c r="H23" s="213">
        <v>280</v>
      </c>
      <c r="I23" s="213">
        <f>H23/J21</f>
        <v>0.585168808350509</v>
      </c>
      <c r="J23" s="213"/>
      <c r="O23" s="99" t="s">
        <v>5084</v>
      </c>
      <c r="P23" s="18">
        <v>-50000</v>
      </c>
      <c r="Q23" s="99">
        <v>7</v>
      </c>
      <c r="R23" s="99"/>
      <c r="S23" s="96"/>
      <c r="T23" s="96"/>
    </row>
    <row r="24" spans="1:22">
      <c r="A24" s="213"/>
      <c r="B24" s="213"/>
      <c r="C24" s="213"/>
      <c r="D24" s="213"/>
      <c r="E24" s="213"/>
      <c r="F24" s="213"/>
      <c r="G24" s="213"/>
      <c r="H24" s="213" t="s">
        <v>5164</v>
      </c>
      <c r="I24" s="213" t="s">
        <v>5165</v>
      </c>
      <c r="J24" s="213"/>
      <c r="O24" s="99" t="s">
        <v>5091</v>
      </c>
      <c r="P24" s="18">
        <v>-2480000</v>
      </c>
      <c r="Q24" s="99">
        <v>5</v>
      </c>
      <c r="R24" s="99"/>
      <c r="S24" s="96"/>
      <c r="T24" s="96"/>
      <c r="V24" t="s">
        <v>25</v>
      </c>
    </row>
    <row r="25" spans="1:22">
      <c r="O25" s="99" t="s">
        <v>5101</v>
      </c>
      <c r="P25" s="18">
        <v>300000</v>
      </c>
      <c r="Q25" s="99">
        <v>1</v>
      </c>
      <c r="R25" s="99"/>
      <c r="S25" s="96"/>
      <c r="T25" s="96"/>
    </row>
    <row r="26" spans="1:22">
      <c r="O26" s="99" t="s">
        <v>4229</v>
      </c>
      <c r="P26" s="18">
        <v>300000</v>
      </c>
      <c r="Q26" s="99">
        <v>6</v>
      </c>
      <c r="R26" s="99"/>
      <c r="S26" s="96"/>
      <c r="T26" s="96"/>
    </row>
    <row r="27" spans="1:22">
      <c r="O27" s="99" t="s">
        <v>5117</v>
      </c>
      <c r="P27" s="18">
        <v>500000</v>
      </c>
      <c r="Q27" s="99">
        <v>2</v>
      </c>
      <c r="R27" s="99"/>
      <c r="S27" s="96"/>
      <c r="T27" s="96"/>
    </row>
    <row r="28" spans="1:22">
      <c r="C28" s="96" t="s">
        <v>5257</v>
      </c>
      <c r="D28" s="96" t="s">
        <v>5263</v>
      </c>
      <c r="E28" t="s">
        <v>5264</v>
      </c>
      <c r="F28" t="s">
        <v>5266</v>
      </c>
      <c r="G28" t="s">
        <v>5267</v>
      </c>
      <c r="O28" s="99" t="s">
        <v>5123</v>
      </c>
      <c r="P28" s="18">
        <v>100000</v>
      </c>
      <c r="Q28" s="99">
        <v>1</v>
      </c>
      <c r="R28" s="99"/>
      <c r="S28" s="96"/>
      <c r="T28" s="96"/>
    </row>
    <row r="29" spans="1:22">
      <c r="C29" s="96" t="s">
        <v>5262</v>
      </c>
      <c r="D29" s="96">
        <v>1306</v>
      </c>
      <c r="E29">
        <v>0.53500000000000003</v>
      </c>
      <c r="F29">
        <f>D29*E29*$D$40</f>
        <v>698710000</v>
      </c>
      <c r="G29">
        <f>F29*11400/1000000000</f>
        <v>7965.2939999999999</v>
      </c>
      <c r="J29" t="s">
        <v>25</v>
      </c>
      <c r="O29" s="99" t="s">
        <v>5124</v>
      </c>
      <c r="P29" s="18">
        <v>-6423626</v>
      </c>
      <c r="Q29" s="99">
        <v>1</v>
      </c>
      <c r="R29" s="99"/>
      <c r="S29" s="96"/>
      <c r="T29" s="96"/>
    </row>
    <row r="30" spans="1:22">
      <c r="B30" s="96"/>
      <c r="C30" s="96" t="s">
        <v>5268</v>
      </c>
      <c r="D30" s="96">
        <v>10</v>
      </c>
      <c r="E30" s="96">
        <v>0.5</v>
      </c>
      <c r="F30" s="96">
        <f t="shared" ref="F30:F31" si="5">D30*E30*$D$40</f>
        <v>5000000</v>
      </c>
      <c r="G30" s="96">
        <f t="shared" ref="G30:G35" si="6">F30*11400/1000000000</f>
        <v>57</v>
      </c>
      <c r="O30" s="99" t="s">
        <v>5127</v>
      </c>
      <c r="P30" s="18">
        <v>-4592486</v>
      </c>
      <c r="Q30" s="99">
        <v>0</v>
      </c>
      <c r="R30" s="99"/>
      <c r="S30" s="96"/>
      <c r="T30" s="96"/>
      <c r="V30" t="s">
        <v>25</v>
      </c>
    </row>
    <row r="31" spans="1:22">
      <c r="B31" s="96"/>
      <c r="C31" s="96" t="s">
        <v>5269</v>
      </c>
      <c r="D31" s="96">
        <v>492</v>
      </c>
      <c r="E31" s="96">
        <v>0.65</v>
      </c>
      <c r="F31" s="96">
        <f t="shared" si="5"/>
        <v>319800000</v>
      </c>
      <c r="G31" s="96">
        <f t="shared" si="6"/>
        <v>3645.72</v>
      </c>
      <c r="J31" t="s">
        <v>25</v>
      </c>
      <c r="O31" s="99" t="s">
        <v>5127</v>
      </c>
      <c r="P31" s="18">
        <v>4346112</v>
      </c>
      <c r="Q31" s="99">
        <v>11</v>
      </c>
      <c r="R31" s="99"/>
      <c r="S31" s="96"/>
      <c r="T31" s="96"/>
    </row>
    <row r="32" spans="1:22">
      <c r="B32" s="96"/>
      <c r="C32" s="96" t="s">
        <v>5270</v>
      </c>
      <c r="D32" s="96">
        <v>235</v>
      </c>
      <c r="E32" s="96">
        <v>1</v>
      </c>
      <c r="F32" s="96">
        <f t="shared" ref="F32:F35" si="7">D32*E32*$D$40</f>
        <v>235000000</v>
      </c>
      <c r="G32" s="96">
        <f t="shared" si="6"/>
        <v>2679</v>
      </c>
      <c r="O32" s="99" t="s">
        <v>5146</v>
      </c>
      <c r="P32" s="18">
        <v>1500000</v>
      </c>
      <c r="Q32" s="99">
        <v>16</v>
      </c>
      <c r="R32" s="99"/>
      <c r="S32" s="96"/>
      <c r="T32" s="96"/>
    </row>
    <row r="33" spans="1:22">
      <c r="A33" s="96"/>
      <c r="B33" s="96"/>
      <c r="C33" s="96" t="s">
        <v>5271</v>
      </c>
      <c r="D33" s="96">
        <v>500</v>
      </c>
      <c r="E33" s="96">
        <v>0.6</v>
      </c>
      <c r="F33" s="96">
        <f t="shared" si="7"/>
        <v>300000000</v>
      </c>
      <c r="G33" s="96">
        <f t="shared" si="6"/>
        <v>3420</v>
      </c>
      <c r="O33" s="99" t="s">
        <v>5130</v>
      </c>
      <c r="P33" s="18">
        <v>6000000</v>
      </c>
      <c r="Q33" s="99">
        <v>8</v>
      </c>
      <c r="R33" s="99"/>
      <c r="S33" s="96"/>
      <c r="T33" s="96"/>
    </row>
    <row r="34" spans="1:22">
      <c r="A34" s="96"/>
      <c r="B34" s="96"/>
      <c r="C34" s="96" t="s">
        <v>5272</v>
      </c>
      <c r="D34" s="96">
        <v>903</v>
      </c>
      <c r="E34" s="96">
        <v>1</v>
      </c>
      <c r="F34" s="96">
        <f t="shared" si="7"/>
        <v>903000000</v>
      </c>
      <c r="G34" s="96">
        <f t="shared" si="6"/>
        <v>10294.200000000001</v>
      </c>
      <c r="O34" s="99" t="s">
        <v>5196</v>
      </c>
      <c r="P34" s="18">
        <v>-50000</v>
      </c>
      <c r="Q34" s="99">
        <v>3</v>
      </c>
      <c r="R34" s="99"/>
      <c r="S34" s="96"/>
      <c r="T34" s="96"/>
    </row>
    <row r="35" spans="1:22">
      <c r="A35" s="96"/>
      <c r="B35" s="96"/>
      <c r="E35" s="96"/>
      <c r="F35" s="96">
        <f t="shared" si="7"/>
        <v>0</v>
      </c>
      <c r="G35" s="96">
        <f t="shared" si="6"/>
        <v>0</v>
      </c>
      <c r="O35" s="99" t="s">
        <v>5201</v>
      </c>
      <c r="P35" s="18">
        <v>-20000</v>
      </c>
      <c r="Q35" s="99">
        <v>7</v>
      </c>
      <c r="R35" s="99"/>
      <c r="S35" s="96"/>
      <c r="T35" s="96"/>
    </row>
    <row r="36" spans="1:22">
      <c r="A36" s="96"/>
      <c r="B36" s="96"/>
      <c r="E36" s="96"/>
      <c r="F36" s="96"/>
      <c r="G36" s="96"/>
      <c r="N36" t="s">
        <v>25</v>
      </c>
      <c r="O36" s="99" t="s">
        <v>5148</v>
      </c>
      <c r="P36" s="18">
        <v>6000000</v>
      </c>
      <c r="Q36" s="99">
        <v>1</v>
      </c>
      <c r="R36" s="99"/>
      <c r="S36" s="96"/>
      <c r="T36" s="96"/>
      <c r="V36" t="s">
        <v>25</v>
      </c>
    </row>
    <row r="37" spans="1:22">
      <c r="A37" s="96"/>
      <c r="B37" s="96"/>
      <c r="E37" s="96"/>
      <c r="F37" s="96"/>
      <c r="G37" s="96"/>
      <c r="O37" s="99" t="s">
        <v>5223</v>
      </c>
      <c r="P37" s="18">
        <v>-2302282</v>
      </c>
      <c r="Q37" s="99">
        <v>6</v>
      </c>
      <c r="R37" s="99"/>
      <c r="S37" s="96"/>
      <c r="T37" s="96"/>
    </row>
    <row r="38" spans="1:22">
      <c r="A38" s="96"/>
      <c r="B38" s="96"/>
      <c r="E38" s="96"/>
      <c r="F38" s="96"/>
      <c r="O38" s="99" t="s">
        <v>5232</v>
      </c>
      <c r="P38" s="18">
        <v>100000</v>
      </c>
      <c r="Q38" s="99">
        <v>1</v>
      </c>
      <c r="R38" s="99"/>
      <c r="S38" s="96"/>
      <c r="T38" s="96"/>
    </row>
    <row r="39" spans="1:22">
      <c r="A39" s="96"/>
      <c r="B39" s="96"/>
      <c r="C39" s="96" t="s">
        <v>5258</v>
      </c>
      <c r="D39" s="96" t="s">
        <v>5259</v>
      </c>
      <c r="E39" s="96"/>
      <c r="F39" s="96"/>
      <c r="O39" s="99" t="s">
        <v>5237</v>
      </c>
      <c r="P39" s="18">
        <v>-1727718</v>
      </c>
      <c r="Q39" s="99">
        <v>2</v>
      </c>
      <c r="R39" s="99"/>
      <c r="S39" s="96"/>
      <c r="T39" s="96"/>
      <c r="V39" t="s">
        <v>25</v>
      </c>
    </row>
    <row r="40" spans="1:22">
      <c r="A40" s="96"/>
      <c r="B40" s="96"/>
      <c r="C40" s="96" t="s">
        <v>5265</v>
      </c>
      <c r="D40" s="96">
        <v>1000000</v>
      </c>
      <c r="E40" s="96"/>
      <c r="F40" s="96"/>
      <c r="O40" s="99" t="s">
        <v>5242</v>
      </c>
      <c r="P40" s="18">
        <v>-1000000</v>
      </c>
      <c r="Q40" s="99">
        <v>0</v>
      </c>
      <c r="R40" s="99"/>
      <c r="S40" s="96"/>
      <c r="T40" s="96"/>
    </row>
    <row r="41" spans="1:22">
      <c r="A41" s="96"/>
      <c r="B41" s="96"/>
      <c r="C41" s="96" t="s">
        <v>5260</v>
      </c>
      <c r="D41" s="96" t="s">
        <v>5261</v>
      </c>
      <c r="E41" s="96"/>
      <c r="F41" s="96"/>
      <c r="O41" s="99" t="s">
        <v>5242</v>
      </c>
      <c r="P41" s="18">
        <v>-439200</v>
      </c>
      <c r="Q41" s="99">
        <v>1</v>
      </c>
      <c r="R41" s="99"/>
      <c r="S41" s="96"/>
      <c r="T41" s="96"/>
    </row>
    <row r="42" spans="1:22">
      <c r="A42" s="96"/>
      <c r="B42" s="96"/>
      <c r="E42" s="96"/>
      <c r="F42" s="96"/>
      <c r="O42" s="99" t="s">
        <v>5248</v>
      </c>
      <c r="P42" s="18">
        <v>-3631879</v>
      </c>
      <c r="Q42" s="99">
        <v>3</v>
      </c>
      <c r="R42" s="99"/>
      <c r="S42" s="96"/>
      <c r="T42" s="96"/>
    </row>
    <row r="43" spans="1:22">
      <c r="A43" s="96"/>
      <c r="B43" s="96"/>
      <c r="E43" s="96"/>
      <c r="F43" s="96"/>
      <c r="O43" s="99" t="s">
        <v>5276</v>
      </c>
      <c r="P43" s="18">
        <v>-2428921</v>
      </c>
      <c r="Q43" s="99">
        <v>9</v>
      </c>
      <c r="R43" s="99"/>
      <c r="S43" s="96"/>
      <c r="T43" s="96"/>
    </row>
    <row r="44" spans="1:22">
      <c r="A44" s="96"/>
      <c r="B44" s="96"/>
      <c r="E44" s="96"/>
      <c r="F44" s="96"/>
      <c r="O44" s="99" t="s">
        <v>5313</v>
      </c>
      <c r="P44" s="18">
        <v>-500000</v>
      </c>
      <c r="Q44" s="99">
        <v>1</v>
      </c>
      <c r="R44" s="99"/>
      <c r="S44" s="96"/>
      <c r="T44" s="96"/>
    </row>
    <row r="45" spans="1:22">
      <c r="A45" s="96"/>
      <c r="B45" s="96"/>
      <c r="E45" s="96"/>
      <c r="F45" s="96"/>
      <c r="O45" s="99" t="s">
        <v>5314</v>
      </c>
      <c r="P45" s="18">
        <v>-2603</v>
      </c>
      <c r="Q45" s="99">
        <v>0</v>
      </c>
      <c r="R45" s="99" t="s">
        <v>5316</v>
      </c>
      <c r="S45" s="96"/>
      <c r="T45" s="96"/>
    </row>
    <row r="46" spans="1:22">
      <c r="A46" s="96"/>
      <c r="B46" s="96"/>
      <c r="E46" s="96"/>
      <c r="F46" s="96"/>
      <c r="O46" s="99" t="s">
        <v>5314</v>
      </c>
      <c r="P46" s="18">
        <v>-250000</v>
      </c>
      <c r="Q46" s="99">
        <v>7</v>
      </c>
      <c r="R46" s="99"/>
      <c r="S46" s="96"/>
      <c r="T46" s="96"/>
    </row>
    <row r="47" spans="1:22">
      <c r="A47" s="96"/>
      <c r="B47" s="96"/>
      <c r="E47" s="96"/>
      <c r="F47" s="96"/>
      <c r="M47" t="s">
        <v>25</v>
      </c>
      <c r="O47" s="99" t="s">
        <v>4273</v>
      </c>
      <c r="P47" s="18">
        <v>185749</v>
      </c>
      <c r="Q47" s="99">
        <v>5</v>
      </c>
      <c r="R47" s="99"/>
      <c r="S47" s="96"/>
      <c r="T47" s="96"/>
    </row>
    <row r="48" spans="1:22">
      <c r="A48" s="96"/>
      <c r="B48" s="96"/>
      <c r="E48" s="96"/>
      <c r="F48" s="96"/>
      <c r="M48" t="s">
        <v>25</v>
      </c>
      <c r="O48" s="99" t="s">
        <v>5350</v>
      </c>
      <c r="P48" s="18">
        <v>300000</v>
      </c>
      <c r="Q48" s="99">
        <v>1</v>
      </c>
      <c r="R48" s="99"/>
      <c r="S48" s="96"/>
      <c r="T48" s="96"/>
    </row>
    <row r="49" spans="1:20">
      <c r="A49" s="96"/>
      <c r="B49" s="96"/>
      <c r="E49" s="96"/>
      <c r="F49" s="96"/>
      <c r="O49" s="99"/>
      <c r="P49" s="18"/>
      <c r="Q49" s="99"/>
      <c r="R49" s="99"/>
      <c r="S49" s="96"/>
      <c r="T49" s="96"/>
    </row>
    <row r="50" spans="1:20">
      <c r="A50" s="96"/>
      <c r="B50" s="96"/>
      <c r="E50" s="96"/>
      <c r="F50" s="96"/>
      <c r="O50" s="99"/>
      <c r="P50" s="18"/>
      <c r="Q50" s="99"/>
      <c r="R50" s="99"/>
      <c r="S50" s="96"/>
      <c r="T50" s="96"/>
    </row>
    <row r="51" spans="1:20">
      <c r="A51" s="96"/>
      <c r="B51" s="96"/>
      <c r="E51" s="96"/>
      <c r="F51" s="96"/>
      <c r="O51" s="99"/>
      <c r="P51" s="18">
        <f>SUM(P14:P50)</f>
        <v>1733146</v>
      </c>
      <c r="Q51" s="99"/>
      <c r="R51" s="99"/>
      <c r="S51" s="96"/>
      <c r="T51" s="96"/>
    </row>
    <row r="52" spans="1:20">
      <c r="A52" s="96"/>
      <c r="B52" s="96"/>
      <c r="E52" s="96"/>
      <c r="F52" s="96"/>
      <c r="P52" t="s">
        <v>5009</v>
      </c>
    </row>
    <row r="53" spans="1:20">
      <c r="A53" s="96"/>
      <c r="B53" s="96"/>
      <c r="E53" s="96"/>
      <c r="F53" s="96"/>
    </row>
    <row r="54" spans="1:20">
      <c r="A54" s="96"/>
      <c r="B54" s="96"/>
      <c r="E54" s="96"/>
      <c r="F54" s="96"/>
    </row>
    <row r="55" spans="1:20">
      <c r="A55" s="96"/>
      <c r="B55" s="96"/>
      <c r="E55" s="96"/>
      <c r="F55" s="96"/>
    </row>
    <row r="56" spans="1:20">
      <c r="A56" s="96"/>
      <c r="B56" s="96"/>
      <c r="E56" s="96"/>
      <c r="F56" s="96"/>
    </row>
    <row r="57" spans="1:20">
      <c r="A57" s="96"/>
      <c r="B57" s="96"/>
      <c r="E57" s="96"/>
      <c r="F57" s="96"/>
      <c r="O57" t="s">
        <v>25</v>
      </c>
      <c r="S57" t="s">
        <v>25</v>
      </c>
    </row>
    <row r="58" spans="1:20">
      <c r="A58" s="96"/>
      <c r="B58" s="96"/>
      <c r="E58" s="96"/>
      <c r="F58" s="96"/>
      <c r="P58" t="s">
        <v>25</v>
      </c>
    </row>
    <row r="59" spans="1:20">
      <c r="A59" s="96"/>
      <c r="B59" s="96"/>
      <c r="E59" s="96"/>
      <c r="F59" s="96"/>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4526</v>
      </c>
      <c r="B1" t="s">
        <v>949</v>
      </c>
      <c r="C1" t="s">
        <v>4582</v>
      </c>
      <c r="D1" t="s">
        <v>4894</v>
      </c>
      <c r="E1" t="s">
        <v>4895</v>
      </c>
      <c r="F1" t="s">
        <v>8</v>
      </c>
    </row>
    <row r="2" spans="1:6">
      <c r="A2" t="s">
        <v>4898</v>
      </c>
      <c r="B2">
        <v>237</v>
      </c>
      <c r="C2">
        <v>281</v>
      </c>
      <c r="D2">
        <f>B2/C2</f>
        <v>0.84341637010676151</v>
      </c>
      <c r="E2" t="s">
        <v>4899</v>
      </c>
      <c r="F2" t="s">
        <v>4900</v>
      </c>
    </row>
    <row r="3" spans="1:6">
      <c r="A3" t="s">
        <v>4524</v>
      </c>
      <c r="B3">
        <v>134</v>
      </c>
      <c r="C3">
        <v>193</v>
      </c>
      <c r="D3" s="96">
        <f t="shared" ref="D3:D21" si="0">B3/C3</f>
        <v>0.69430051813471505</v>
      </c>
      <c r="E3" t="s">
        <v>4899</v>
      </c>
      <c r="F3" s="96" t="s">
        <v>4900</v>
      </c>
    </row>
    <row r="4" spans="1:6">
      <c r="A4" t="s">
        <v>4901</v>
      </c>
      <c r="B4">
        <v>195</v>
      </c>
      <c r="C4">
        <v>73</v>
      </c>
      <c r="D4" s="96">
        <f t="shared" si="0"/>
        <v>2.6712328767123288</v>
      </c>
      <c r="E4" t="s">
        <v>4902</v>
      </c>
      <c r="F4" t="s">
        <v>4903</v>
      </c>
    </row>
    <row r="5" spans="1:6">
      <c r="A5" t="s">
        <v>4904</v>
      </c>
      <c r="B5">
        <v>1</v>
      </c>
      <c r="C5">
        <v>1</v>
      </c>
      <c r="D5" s="96">
        <f t="shared" si="0"/>
        <v>1</v>
      </c>
      <c r="E5" t="s">
        <v>4902</v>
      </c>
      <c r="F5" t="s">
        <v>4905</v>
      </c>
    </row>
    <row r="6" spans="1:6">
      <c r="A6" t="s">
        <v>4565</v>
      </c>
      <c r="B6">
        <v>163</v>
      </c>
      <c r="C6">
        <v>232</v>
      </c>
      <c r="D6" s="96">
        <f t="shared" si="0"/>
        <v>0.70258620689655171</v>
      </c>
      <c r="F6" s="96" t="s">
        <v>4900</v>
      </c>
    </row>
    <row r="7" spans="1:6">
      <c r="A7" t="s">
        <v>4906</v>
      </c>
      <c r="B7">
        <v>247</v>
      </c>
      <c r="C7">
        <v>250</v>
      </c>
      <c r="D7" s="96">
        <f t="shared" si="0"/>
        <v>0.98799999999999999</v>
      </c>
    </row>
    <row r="8" spans="1:6">
      <c r="A8" t="s">
        <v>4907</v>
      </c>
      <c r="B8">
        <v>335</v>
      </c>
      <c r="C8">
        <v>141</v>
      </c>
      <c r="D8" s="96">
        <f t="shared" si="0"/>
        <v>2.375886524822695</v>
      </c>
      <c r="F8" s="96" t="s">
        <v>4905</v>
      </c>
    </row>
    <row r="9" spans="1:6">
      <c r="A9" t="s">
        <v>4793</v>
      </c>
      <c r="B9">
        <v>150</v>
      </c>
      <c r="C9">
        <v>240</v>
      </c>
      <c r="D9" s="96">
        <f t="shared" si="0"/>
        <v>0.625</v>
      </c>
      <c r="F9" t="s">
        <v>4908</v>
      </c>
    </row>
    <row r="10" spans="1:6">
      <c r="A10" t="s">
        <v>4909</v>
      </c>
      <c r="B10">
        <v>187</v>
      </c>
      <c r="C10">
        <v>208</v>
      </c>
      <c r="D10" s="96">
        <f t="shared" si="0"/>
        <v>0.89903846153846156</v>
      </c>
      <c r="F10" t="s">
        <v>4899</v>
      </c>
    </row>
    <row r="11" spans="1:6">
      <c r="A11" t="s">
        <v>4910</v>
      </c>
      <c r="B11">
        <v>412</v>
      </c>
      <c r="C11">
        <v>183</v>
      </c>
      <c r="D11" s="96">
        <f t="shared" si="0"/>
        <v>2.2513661202185791</v>
      </c>
      <c r="F11" s="96" t="s">
        <v>4905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4893</v>
      </c>
      <c r="B21">
        <v>113</v>
      </c>
      <c r="C21">
        <v>215</v>
      </c>
      <c r="D21" s="96">
        <f t="shared" si="0"/>
        <v>0.52558139534883719</v>
      </c>
      <c r="E21" t="s">
        <v>4896</v>
      </c>
      <c r="F21" t="s">
        <v>4897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4845</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4842</v>
      </c>
      <c r="B4" s="18">
        <v>-960200</v>
      </c>
      <c r="C4" s="18">
        <v>0</v>
      </c>
      <c r="D4" s="113">
        <f t="shared" si="0"/>
        <v>-960200</v>
      </c>
      <c r="E4" s="99" t="s">
        <v>4846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4844</v>
      </c>
      <c r="F42" s="96"/>
      <c r="G42" s="96"/>
      <c r="H42" s="96"/>
      <c r="I42" s="96"/>
      <c r="J42" s="96"/>
      <c r="K42" s="96"/>
      <c r="L42" s="96"/>
      <c r="M42" s="96"/>
      <c r="N42" s="96"/>
      <c r="O42" s="96"/>
      <c r="P42" s="96"/>
      <c r="Q42" s="96"/>
      <c r="R42" s="96"/>
      <c r="S42" s="96"/>
      <c r="T42" s="96"/>
      <c r="U42" s="96"/>
    </row>
    <row r="43" spans="1:21">
      <c r="A43" s="96"/>
      <c r="B43" s="96"/>
      <c r="C43" s="96"/>
      <c r="D43" s="18">
        <v>252830</v>
      </c>
      <c r="E43" s="122" t="s">
        <v>4849</v>
      </c>
      <c r="F43" s="96"/>
      <c r="G43" s="96"/>
      <c r="H43" s="96"/>
      <c r="I43" s="96"/>
      <c r="J43" s="96"/>
      <c r="K43" s="96"/>
      <c r="L43" s="96"/>
      <c r="M43" s="96"/>
      <c r="N43" s="96"/>
      <c r="O43" s="96"/>
      <c r="P43" s="96"/>
      <c r="Q43" s="96"/>
      <c r="R43" s="96"/>
      <c r="S43" s="96"/>
      <c r="T43" s="96"/>
      <c r="U43" s="96"/>
    </row>
    <row r="44" spans="1:21">
      <c r="A44" s="96"/>
      <c r="B44" s="96"/>
      <c r="C44" s="96"/>
      <c r="D44" s="18">
        <v>178820</v>
      </c>
      <c r="E44" s="122" t="s">
        <v>4853</v>
      </c>
      <c r="F44" s="96"/>
      <c r="G44" s="96"/>
      <c r="H44" s="96"/>
      <c r="I44" s="96"/>
      <c r="J44" s="96"/>
      <c r="K44" s="96"/>
      <c r="L44" s="96"/>
      <c r="M44" s="96"/>
      <c r="N44" s="96"/>
      <c r="O44" s="96"/>
      <c r="P44" s="96"/>
      <c r="Q44" s="96"/>
      <c r="R44" s="96"/>
      <c r="S44" s="96"/>
      <c r="T44" s="96"/>
      <c r="U44" s="96"/>
    </row>
    <row r="45" spans="1:21">
      <c r="A45" s="96"/>
      <c r="B45" s="96"/>
      <c r="C45" s="96"/>
      <c r="D45" s="18">
        <v>382000</v>
      </c>
      <c r="E45" s="122" t="s">
        <v>4860</v>
      </c>
      <c r="F45" s="96"/>
      <c r="G45" s="96"/>
      <c r="H45" s="96"/>
      <c r="I45" s="96"/>
      <c r="J45" s="96"/>
      <c r="K45" s="96"/>
      <c r="L45" s="96"/>
      <c r="M45" s="96"/>
      <c r="N45" s="96"/>
      <c r="O45" s="96"/>
      <c r="P45" s="96"/>
      <c r="Q45" s="96"/>
      <c r="R45" s="96"/>
      <c r="S45" s="96"/>
      <c r="T45" s="96"/>
      <c r="U45" s="96"/>
    </row>
    <row r="46" spans="1:21">
      <c r="A46" s="96"/>
      <c r="B46" s="96"/>
      <c r="C46" s="96"/>
      <c r="D46" s="18">
        <v>-200000</v>
      </c>
      <c r="E46" s="122" t="s">
        <v>4861</v>
      </c>
      <c r="F46" s="96"/>
      <c r="G46" s="96"/>
      <c r="H46" s="96"/>
      <c r="I46" s="96"/>
      <c r="J46" s="96"/>
      <c r="K46" s="96"/>
      <c r="L46" s="96"/>
      <c r="M46" s="96"/>
      <c r="N46" s="96"/>
      <c r="O46" s="96"/>
      <c r="P46" s="96"/>
      <c r="Q46" s="96"/>
      <c r="R46" s="96"/>
      <c r="S46" s="96"/>
      <c r="T46" s="96"/>
      <c r="U46" s="96"/>
    </row>
    <row r="47" spans="1:21">
      <c r="A47" s="96"/>
      <c r="B47" s="96"/>
      <c r="C47" s="96"/>
      <c r="D47" s="18">
        <v>-2336075</v>
      </c>
      <c r="E47" s="122" t="s">
        <v>4864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4877</v>
      </c>
      <c r="F50" s="96"/>
      <c r="G50" s="96"/>
      <c r="H50" s="96"/>
      <c r="I50" s="96"/>
      <c r="J50" s="96"/>
      <c r="K50" s="96"/>
      <c r="L50" s="96"/>
      <c r="M50" s="96"/>
      <c r="N50" s="96"/>
      <c r="O50" s="96"/>
      <c r="P50" s="96"/>
      <c r="Q50" s="96"/>
      <c r="R50" s="96"/>
      <c r="S50" s="96"/>
      <c r="T50" s="96"/>
      <c r="U50" s="96"/>
    </row>
    <row r="51" spans="1:21">
      <c r="A51" s="96"/>
      <c r="B51" s="96"/>
      <c r="C51" s="96"/>
      <c r="D51" s="18">
        <v>-40000</v>
      </c>
      <c r="E51" s="122" t="s">
        <v>4878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4889</v>
      </c>
      <c r="F52" s="96"/>
      <c r="G52" s="96"/>
      <c r="H52" s="96"/>
      <c r="I52" s="96"/>
      <c r="J52" s="96"/>
      <c r="K52" s="96"/>
      <c r="L52" s="96"/>
      <c r="M52" s="96"/>
      <c r="N52" s="96"/>
      <c r="O52" s="96"/>
      <c r="P52" s="96"/>
      <c r="Q52" s="96"/>
      <c r="R52" s="96"/>
      <c r="S52" s="96"/>
      <c r="T52" s="96"/>
      <c r="U52" s="96"/>
    </row>
    <row r="53" spans="1:21">
      <c r="A53" s="96"/>
      <c r="B53" s="96"/>
      <c r="C53" s="96"/>
      <c r="D53" s="18">
        <v>160000</v>
      </c>
      <c r="E53" s="122" t="s">
        <v>4892</v>
      </c>
      <c r="F53" s="96"/>
      <c r="G53" s="96"/>
      <c r="H53" s="96"/>
      <c r="I53" s="96"/>
      <c r="J53" s="96"/>
      <c r="K53" s="96"/>
      <c r="L53" s="96"/>
      <c r="M53" s="96"/>
      <c r="N53" s="96"/>
      <c r="O53" s="96"/>
      <c r="P53" s="96"/>
      <c r="Q53" s="96"/>
      <c r="R53" s="96"/>
      <c r="S53" s="96"/>
      <c r="T53" s="96"/>
      <c r="U53" s="96"/>
    </row>
    <row r="54" spans="1:21">
      <c r="A54" s="96"/>
      <c r="B54" s="96"/>
      <c r="C54" s="96"/>
      <c r="D54" s="18">
        <v>-224012</v>
      </c>
      <c r="E54" s="122" t="s">
        <v>4930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4931</v>
      </c>
      <c r="F55" s="114"/>
      <c r="G55" s="41"/>
      <c r="H55" s="96"/>
      <c r="I55" s="96"/>
      <c r="J55" s="96"/>
      <c r="K55" s="96"/>
      <c r="L55" s="96"/>
      <c r="M55" s="96"/>
      <c r="N55" s="96"/>
      <c r="O55" s="96"/>
      <c r="P55" s="96"/>
      <c r="Q55" s="96"/>
      <c r="R55" s="96"/>
      <c r="S55" s="96"/>
      <c r="T55" s="96"/>
      <c r="U55" s="96"/>
    </row>
    <row r="56" spans="1:21">
      <c r="A56" s="96"/>
      <c r="B56" s="96"/>
      <c r="C56" s="96"/>
      <c r="D56" s="18">
        <v>1465000</v>
      </c>
      <c r="E56" s="122" t="s">
        <v>4939</v>
      </c>
      <c r="F56" s="114"/>
      <c r="G56" s="41"/>
      <c r="H56" s="96"/>
      <c r="I56" s="96"/>
      <c r="J56" s="96"/>
      <c r="K56" s="96"/>
      <c r="L56" s="96"/>
      <c r="M56" s="96"/>
      <c r="N56" s="96"/>
      <c r="O56" s="96"/>
      <c r="P56" s="96"/>
      <c r="Q56" s="96"/>
      <c r="R56" s="96"/>
      <c r="S56" s="96"/>
      <c r="T56" s="96"/>
      <c r="U56" s="96"/>
    </row>
    <row r="57" spans="1:21">
      <c r="A57" s="96"/>
      <c r="B57" s="96"/>
      <c r="C57" s="96"/>
      <c r="D57" s="18">
        <v>2600000</v>
      </c>
      <c r="E57" s="122" t="s">
        <v>4976</v>
      </c>
      <c r="F57" s="114"/>
      <c r="G57" s="41"/>
      <c r="H57" s="96"/>
      <c r="I57" s="96"/>
      <c r="J57" s="96"/>
      <c r="K57" s="96"/>
      <c r="L57" s="96"/>
      <c r="M57" s="96"/>
      <c r="N57" s="96"/>
      <c r="O57" s="96"/>
      <c r="P57" s="96"/>
      <c r="Q57" s="96"/>
      <c r="R57" s="96"/>
      <c r="S57" s="96"/>
      <c r="T57" s="96"/>
      <c r="U57" s="96"/>
    </row>
    <row r="58" spans="1:21">
      <c r="A58" s="96"/>
      <c r="B58" s="96"/>
      <c r="C58" s="96"/>
      <c r="D58" s="18">
        <v>-1170000</v>
      </c>
      <c r="E58" s="122" t="s">
        <v>4987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4986</v>
      </c>
      <c r="F59" s="114"/>
      <c r="G59" s="96"/>
      <c r="H59" s="96"/>
      <c r="I59" s="96"/>
      <c r="J59" s="96"/>
      <c r="K59" s="96"/>
      <c r="L59" s="96"/>
      <c r="M59" s="96"/>
      <c r="N59" s="96"/>
      <c r="O59" s="96"/>
      <c r="P59" s="96"/>
      <c r="Q59" s="96"/>
      <c r="R59" s="96"/>
      <c r="S59" s="96"/>
      <c r="T59" s="96"/>
      <c r="U59" s="96"/>
    </row>
    <row r="60" spans="1:21">
      <c r="A60" s="96"/>
      <c r="B60" s="96"/>
      <c r="C60" s="96"/>
      <c r="D60" s="18">
        <v>360000</v>
      </c>
      <c r="E60" s="122" t="s">
        <v>4997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5021</v>
      </c>
      <c r="F61" s="96"/>
      <c r="G61" s="96"/>
      <c r="H61" s="96"/>
      <c r="I61" s="96"/>
      <c r="J61" s="96"/>
      <c r="K61" s="96"/>
      <c r="L61" s="96"/>
      <c r="M61" s="96"/>
      <c r="N61" s="96"/>
      <c r="O61" s="96"/>
      <c r="P61" s="96"/>
      <c r="Q61" s="96"/>
      <c r="R61" s="96"/>
      <c r="S61" s="96"/>
      <c r="T61" s="96"/>
      <c r="U61" s="96"/>
    </row>
    <row r="62" spans="1:21">
      <c r="A62" s="96"/>
      <c r="B62" s="96"/>
      <c r="C62" s="96"/>
      <c r="D62" s="18">
        <v>-550000</v>
      </c>
      <c r="E62" s="255" t="s">
        <v>5024</v>
      </c>
      <c r="F62" s="96"/>
      <c r="G62" s="96"/>
      <c r="H62" s="96"/>
      <c r="I62" s="96"/>
      <c r="J62" s="96"/>
      <c r="K62" s="96"/>
      <c r="L62" s="96"/>
      <c r="M62" s="96"/>
      <c r="N62" s="96"/>
      <c r="O62" s="96"/>
      <c r="P62" s="96"/>
      <c r="Q62" s="96"/>
      <c r="R62" s="96"/>
      <c r="S62" s="96"/>
      <c r="T62" s="96"/>
      <c r="U62" s="96"/>
    </row>
    <row r="63" spans="1:21">
      <c r="A63" s="96"/>
      <c r="B63" s="96"/>
      <c r="C63" s="96"/>
      <c r="D63" s="18">
        <v>-850000</v>
      </c>
      <c r="E63" s="255" t="s">
        <v>5033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5042</v>
      </c>
      <c r="F65" s="96"/>
      <c r="G65" s="96"/>
      <c r="H65" s="96"/>
      <c r="I65" s="96"/>
      <c r="J65" s="96"/>
      <c r="K65" s="96"/>
      <c r="L65" s="96"/>
      <c r="M65" s="96"/>
      <c r="N65" s="96"/>
      <c r="O65" s="96"/>
      <c r="P65" s="96"/>
      <c r="Q65" s="96"/>
      <c r="R65" s="96"/>
      <c r="S65" s="96"/>
      <c r="T65" s="96"/>
      <c r="U65" s="96"/>
    </row>
    <row r="66" spans="1:21">
      <c r="A66" s="96"/>
      <c r="B66" s="96"/>
      <c r="C66" s="96"/>
      <c r="D66" s="18">
        <v>-2290500</v>
      </c>
      <c r="E66" s="255" t="s">
        <v>5043</v>
      </c>
      <c r="F66" s="96"/>
      <c r="G66" s="96"/>
      <c r="H66" s="96"/>
      <c r="I66" s="96"/>
      <c r="J66" s="96"/>
      <c r="K66" s="96"/>
      <c r="L66" s="96"/>
      <c r="M66" s="96"/>
      <c r="N66" s="96"/>
      <c r="O66" s="96"/>
      <c r="P66" s="96"/>
      <c r="Q66" s="96"/>
      <c r="R66" s="96"/>
      <c r="S66" s="96"/>
      <c r="T66" s="96"/>
      <c r="U66" s="96"/>
    </row>
    <row r="67" spans="1:21">
      <c r="A67" s="96"/>
      <c r="B67" s="96"/>
      <c r="C67" s="96"/>
      <c r="D67" s="18">
        <v>1700000</v>
      </c>
      <c r="E67" s="255" t="s">
        <v>5058</v>
      </c>
      <c r="F67" s="96"/>
      <c r="G67" s="96"/>
      <c r="H67" s="96"/>
      <c r="I67" s="96"/>
      <c r="J67" s="96"/>
      <c r="K67" s="96"/>
      <c r="L67" s="96"/>
      <c r="M67" s="96"/>
      <c r="N67" s="96"/>
      <c r="O67" s="96"/>
      <c r="P67" s="96"/>
      <c r="Q67" s="96"/>
      <c r="R67" s="96"/>
      <c r="S67" s="96"/>
      <c r="T67" s="96"/>
      <c r="U67" s="96"/>
    </row>
    <row r="68" spans="1:21">
      <c r="A68" s="96"/>
      <c r="B68" s="96"/>
      <c r="C68" s="96"/>
      <c r="D68" s="18">
        <v>-150000</v>
      </c>
      <c r="E68" s="255" t="s">
        <v>5063</v>
      </c>
      <c r="F68" s="96"/>
      <c r="G68" s="96"/>
      <c r="H68" s="96"/>
      <c r="I68" s="96"/>
      <c r="J68" s="96"/>
      <c r="K68" s="96"/>
      <c r="L68" s="96"/>
      <c r="M68" s="96"/>
      <c r="N68" s="96"/>
      <c r="O68" s="96"/>
      <c r="P68" s="96"/>
      <c r="Q68" s="96"/>
      <c r="R68" s="96"/>
      <c r="S68" s="96"/>
      <c r="T68" s="96"/>
      <c r="U68" s="96"/>
    </row>
    <row r="69" spans="1:21">
      <c r="A69" s="96"/>
      <c r="B69" s="96"/>
      <c r="C69" s="96"/>
      <c r="D69" s="18">
        <v>-550000</v>
      </c>
      <c r="E69" s="255" t="s">
        <v>5069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5113</v>
      </c>
      <c r="F71" s="96"/>
      <c r="G71" s="96"/>
      <c r="H71" s="96"/>
      <c r="I71" s="96"/>
      <c r="J71" s="96"/>
      <c r="K71" s="96"/>
      <c r="L71" s="96"/>
      <c r="M71" s="96"/>
      <c r="N71" s="96"/>
      <c r="O71" s="96"/>
      <c r="P71" s="96"/>
      <c r="Q71" s="96"/>
      <c r="R71" s="96"/>
      <c r="S71" s="96"/>
      <c r="T71" s="96"/>
      <c r="U71" s="96"/>
    </row>
    <row r="72" spans="1:21">
      <c r="A72" s="96"/>
      <c r="B72" s="96"/>
      <c r="C72" s="96"/>
      <c r="D72" s="18">
        <v>1500000</v>
      </c>
      <c r="E72" s="255" t="s">
        <v>5114</v>
      </c>
      <c r="F72" s="96"/>
      <c r="G72" s="96"/>
      <c r="H72" s="96"/>
      <c r="I72" s="96"/>
      <c r="J72" s="96"/>
      <c r="K72" s="96"/>
      <c r="L72" s="96"/>
      <c r="M72" s="96"/>
      <c r="N72" s="96"/>
      <c r="O72" s="96"/>
      <c r="P72" s="96"/>
      <c r="Q72" s="96"/>
      <c r="R72" s="96"/>
      <c r="S72" s="96"/>
      <c r="T72" s="96"/>
      <c r="U72" s="96"/>
    </row>
    <row r="73" spans="1:21">
      <c r="A73" s="96"/>
      <c r="B73" s="96"/>
      <c r="C73" s="96"/>
      <c r="D73" s="18">
        <v>-550000</v>
      </c>
      <c r="E73" s="255" t="s">
        <v>5118</v>
      </c>
      <c r="F73" s="96"/>
      <c r="G73" s="96"/>
      <c r="H73" s="96"/>
      <c r="I73" s="96"/>
      <c r="J73" s="96"/>
      <c r="K73" s="96"/>
      <c r="L73" s="96"/>
      <c r="M73" s="96"/>
      <c r="N73" s="96"/>
      <c r="O73" s="96"/>
      <c r="P73" s="96"/>
      <c r="Q73" s="96"/>
      <c r="R73" s="96"/>
      <c r="S73" s="96"/>
      <c r="T73" s="96"/>
      <c r="U73" s="96"/>
    </row>
    <row r="74" spans="1:21">
      <c r="A74" s="96"/>
      <c r="B74" s="96"/>
      <c r="C74" s="96"/>
      <c r="D74" s="18">
        <v>-50000</v>
      </c>
      <c r="E74" s="255" t="s">
        <v>5119</v>
      </c>
      <c r="F74" s="96"/>
      <c r="G74" s="96"/>
      <c r="H74" s="96"/>
      <c r="I74" s="96"/>
      <c r="J74" s="96"/>
      <c r="K74" s="96"/>
      <c r="L74" s="96"/>
      <c r="M74" s="96"/>
      <c r="N74" s="96"/>
      <c r="O74" s="96"/>
      <c r="P74" s="96"/>
      <c r="Q74" s="96"/>
      <c r="R74" s="96"/>
      <c r="S74" s="96"/>
      <c r="T74" s="96"/>
      <c r="U74" s="96"/>
    </row>
    <row r="75" spans="1:21">
      <c r="A75" s="96"/>
      <c r="B75" s="96"/>
      <c r="C75" s="96"/>
      <c r="D75" s="18">
        <v>-60000</v>
      </c>
      <c r="E75" s="255" t="s">
        <v>5120</v>
      </c>
      <c r="F75" s="96"/>
      <c r="G75" s="96"/>
      <c r="H75" s="96"/>
      <c r="I75" s="96"/>
      <c r="J75" s="96"/>
      <c r="K75" s="96"/>
      <c r="L75" s="96"/>
      <c r="M75" s="96"/>
      <c r="N75" s="96"/>
      <c r="O75" s="96"/>
      <c r="P75" s="96"/>
      <c r="Q75" s="96"/>
      <c r="R75" s="96"/>
      <c r="S75" s="96"/>
      <c r="T75" s="96"/>
      <c r="U75" s="96"/>
    </row>
    <row r="76" spans="1:21">
      <c r="A76" s="96"/>
      <c r="B76" s="96"/>
      <c r="C76" s="96"/>
      <c r="D76" s="18">
        <v>-43000</v>
      </c>
      <c r="E76" s="255" t="s">
        <v>5128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5140</v>
      </c>
      <c r="F78" s="96"/>
      <c r="G78" s="96"/>
      <c r="H78" s="96"/>
      <c r="I78" s="96"/>
      <c r="J78" s="96"/>
      <c r="K78" s="96"/>
      <c r="L78" s="96"/>
      <c r="M78" s="96"/>
      <c r="N78" s="96"/>
      <c r="O78" s="96"/>
      <c r="P78" s="96"/>
      <c r="Q78" s="96"/>
      <c r="R78" s="96"/>
      <c r="S78" s="96"/>
      <c r="T78" s="96"/>
      <c r="U78" s="96"/>
    </row>
    <row r="79" spans="1:21">
      <c r="A79" s="96"/>
      <c r="B79" s="96"/>
      <c r="C79" s="96"/>
      <c r="D79" s="18">
        <v>-750000</v>
      </c>
      <c r="E79" s="255" t="s">
        <v>5147</v>
      </c>
      <c r="F79" s="96"/>
      <c r="G79" s="96"/>
      <c r="H79" s="96"/>
      <c r="I79" s="96"/>
      <c r="J79" s="96"/>
      <c r="K79" s="96"/>
      <c r="L79" s="96"/>
      <c r="M79" s="96"/>
      <c r="N79" s="96"/>
      <c r="O79" s="96"/>
      <c r="P79" s="96"/>
      <c r="Q79" s="96"/>
      <c r="R79" s="96"/>
      <c r="S79" s="96"/>
      <c r="T79" s="96"/>
      <c r="U79" s="96"/>
    </row>
    <row r="80" spans="1:21">
      <c r="A80" s="96"/>
      <c r="B80" s="96"/>
      <c r="C80" s="96"/>
      <c r="D80" s="18">
        <v>50000</v>
      </c>
      <c r="E80" s="255" t="s">
        <v>5159</v>
      </c>
      <c r="F80" s="96"/>
      <c r="G80" s="96"/>
      <c r="H80" s="96"/>
      <c r="I80" s="96"/>
      <c r="J80" s="96"/>
      <c r="K80" s="96"/>
      <c r="L80" s="96"/>
      <c r="M80" s="96"/>
      <c r="N80" s="96"/>
      <c r="O80" s="96"/>
      <c r="P80" s="96"/>
      <c r="Q80" s="96"/>
      <c r="R80" s="96"/>
      <c r="S80" s="96"/>
      <c r="T80" s="96"/>
      <c r="U80" s="96"/>
    </row>
    <row r="81" spans="1:21">
      <c r="A81" s="96"/>
      <c r="B81" s="96"/>
      <c r="C81" s="96"/>
      <c r="D81" s="18">
        <v>500000</v>
      </c>
      <c r="E81" s="255" t="s">
        <v>5176</v>
      </c>
      <c r="F81" s="96"/>
      <c r="G81" s="96"/>
      <c r="H81" s="96"/>
      <c r="I81" s="96"/>
      <c r="J81" s="96"/>
      <c r="K81" s="96"/>
      <c r="L81" s="96"/>
      <c r="M81" s="96"/>
      <c r="N81" s="96"/>
      <c r="O81" s="96"/>
      <c r="P81" s="96"/>
      <c r="Q81" s="96"/>
      <c r="R81" s="96"/>
      <c r="S81" s="96"/>
      <c r="T81" s="96"/>
      <c r="U81" s="96"/>
    </row>
    <row r="82" spans="1:21">
      <c r="A82" s="96"/>
      <c r="B82" s="96"/>
      <c r="C82" s="96"/>
      <c r="D82" s="18">
        <v>1500000</v>
      </c>
      <c r="E82" s="255" t="s">
        <v>5175</v>
      </c>
      <c r="F82" s="96"/>
      <c r="G82" s="96"/>
      <c r="H82" s="96"/>
      <c r="I82" s="96"/>
      <c r="J82" s="96"/>
      <c r="K82" s="96"/>
      <c r="L82" s="96"/>
      <c r="M82" s="96"/>
      <c r="N82" s="96"/>
      <c r="O82" s="96"/>
      <c r="P82" s="96"/>
      <c r="Q82" s="96"/>
      <c r="R82" s="96"/>
      <c r="S82" s="96"/>
      <c r="T82" s="96"/>
      <c r="U82" s="96"/>
    </row>
    <row r="83" spans="1:21">
      <c r="D83" s="18">
        <v>-510000</v>
      </c>
      <c r="E83" s="255" t="s">
        <v>5177</v>
      </c>
      <c r="H83" t="s">
        <v>25</v>
      </c>
    </row>
    <row r="84" spans="1:21">
      <c r="D84" s="18">
        <v>-400000</v>
      </c>
      <c r="E84" s="255" t="s">
        <v>5197</v>
      </c>
    </row>
    <row r="85" spans="1:21">
      <c r="D85" s="18">
        <v>250000</v>
      </c>
      <c r="E85" s="255" t="s">
        <v>5206</v>
      </c>
    </row>
    <row r="86" spans="1:21">
      <c r="D86" s="18">
        <v>-50000</v>
      </c>
      <c r="E86" s="255" t="s">
        <v>5207</v>
      </c>
    </row>
    <row r="87" spans="1:21">
      <c r="D87" s="18">
        <v>-300000</v>
      </c>
      <c r="E87" s="255" t="s">
        <v>5211</v>
      </c>
    </row>
    <row r="88" spans="1:21">
      <c r="D88" s="18">
        <v>-100000</v>
      </c>
      <c r="E88" s="255" t="s">
        <v>5231</v>
      </c>
      <c r="I88" t="s">
        <v>25</v>
      </c>
    </row>
    <row r="89" spans="1:21">
      <c r="D89" s="18">
        <v>-250000</v>
      </c>
      <c r="E89" s="255" t="s">
        <v>5247</v>
      </c>
    </row>
    <row r="90" spans="1:21">
      <c r="D90" s="18">
        <v>-45000</v>
      </c>
      <c r="E90" s="255" t="s">
        <v>5273</v>
      </c>
    </row>
    <row r="91" spans="1:21">
      <c r="D91" s="18">
        <v>3000000</v>
      </c>
      <c r="E91" s="255" t="s">
        <v>5274</v>
      </c>
      <c r="I91" t="s">
        <v>25</v>
      </c>
    </row>
    <row r="92" spans="1:21">
      <c r="D92" s="18">
        <v>-550000</v>
      </c>
      <c r="E92" s="255" t="s">
        <v>5275</v>
      </c>
    </row>
    <row r="93" spans="1:21">
      <c r="D93" s="18">
        <v>-200000</v>
      </c>
      <c r="E93" s="255" t="s">
        <v>5298</v>
      </c>
      <c r="G93" t="s">
        <v>25</v>
      </c>
    </row>
    <row r="94" spans="1:21">
      <c r="D94" s="18">
        <v>-30500</v>
      </c>
      <c r="E94" s="255" t="s">
        <v>5300</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4467</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4470</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4470</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4476</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4483</v>
      </c>
      <c r="B253" s="18">
        <v>12000000</v>
      </c>
      <c r="C253" s="18">
        <v>0</v>
      </c>
      <c r="D253" s="18">
        <f t="shared" si="18"/>
        <v>12000000</v>
      </c>
      <c r="E253" s="99" t="s">
        <v>4484</v>
      </c>
      <c r="F253" s="99">
        <v>1</v>
      </c>
      <c r="G253" s="36">
        <f t="shared" si="21"/>
        <v>111</v>
      </c>
      <c r="H253" s="99">
        <f t="shared" si="15"/>
        <v>1</v>
      </c>
      <c r="I253" s="99">
        <f t="shared" si="13"/>
        <v>1320000000</v>
      </c>
      <c r="J253" s="99">
        <f t="shared" si="20"/>
        <v>0</v>
      </c>
      <c r="K253" s="99">
        <f t="shared" si="17"/>
        <v>1320000000</v>
      </c>
    </row>
    <row r="254" spans="1:13">
      <c r="A254" s="99" t="s">
        <v>4485</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4487</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4488</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4488</v>
      </c>
      <c r="B257" s="18">
        <v>0</v>
      </c>
      <c r="C257" s="39">
        <v>-7968789</v>
      </c>
      <c r="D257" s="39">
        <f t="shared" si="18"/>
        <v>7968789</v>
      </c>
      <c r="E257" s="99" t="s">
        <v>4489</v>
      </c>
      <c r="F257" s="99">
        <v>1</v>
      </c>
      <c r="G257" s="36">
        <f t="shared" si="21"/>
        <v>108</v>
      </c>
      <c r="H257" s="99">
        <f t="shared" si="15"/>
        <v>0</v>
      </c>
      <c r="I257" s="99">
        <f t="shared" si="13"/>
        <v>0</v>
      </c>
      <c r="J257" s="99">
        <f t="shared" si="20"/>
        <v>-860629212</v>
      </c>
      <c r="K257" s="99">
        <f t="shared" si="17"/>
        <v>860629212</v>
      </c>
    </row>
    <row r="258" spans="1:13">
      <c r="A258" s="99" t="s">
        <v>4491</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4497</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4498</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4498</v>
      </c>
      <c r="B261" s="18">
        <v>-100500</v>
      </c>
      <c r="C261" s="18">
        <v>0</v>
      </c>
      <c r="D261" s="18">
        <f t="shared" si="18"/>
        <v>-100500</v>
      </c>
      <c r="E261" s="99" t="s">
        <v>4500</v>
      </c>
      <c r="F261" s="99">
        <v>0</v>
      </c>
      <c r="G261" s="36">
        <f t="shared" si="21"/>
        <v>103</v>
      </c>
      <c r="H261" s="99">
        <f t="shared" si="15"/>
        <v>0</v>
      </c>
      <c r="I261" s="99">
        <f t="shared" si="13"/>
        <v>-10351500</v>
      </c>
      <c r="J261" s="99">
        <f t="shared" si="20"/>
        <v>0</v>
      </c>
      <c r="K261" s="99">
        <f t="shared" si="17"/>
        <v>-10351500</v>
      </c>
    </row>
    <row r="262" spans="1:13">
      <c r="A262" s="99" t="s">
        <v>4498</v>
      </c>
      <c r="B262" s="18">
        <v>-68670</v>
      </c>
      <c r="C262" s="18">
        <v>0</v>
      </c>
      <c r="D262" s="18">
        <f t="shared" si="18"/>
        <v>-68670</v>
      </c>
      <c r="E262" s="99" t="s">
        <v>4504</v>
      </c>
      <c r="F262" s="99">
        <v>1</v>
      </c>
      <c r="G262" s="36">
        <f t="shared" si="21"/>
        <v>103</v>
      </c>
      <c r="H262" s="99">
        <f t="shared" si="15"/>
        <v>0</v>
      </c>
      <c r="I262" s="99">
        <f t="shared" si="13"/>
        <v>-7073010</v>
      </c>
      <c r="J262" s="99">
        <f t="shared" si="20"/>
        <v>0</v>
      </c>
      <c r="K262" s="99">
        <f t="shared" si="17"/>
        <v>-7073010</v>
      </c>
    </row>
    <row r="263" spans="1:13">
      <c r="A263" s="99" t="s">
        <v>4501</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4511</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4511</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4511</v>
      </c>
      <c r="B266" s="18">
        <v>-389000</v>
      </c>
      <c r="C266" s="18">
        <v>0</v>
      </c>
      <c r="D266" s="18">
        <f t="shared" si="18"/>
        <v>-389000</v>
      </c>
      <c r="E266" s="99" t="s">
        <v>4514</v>
      </c>
      <c r="F266" s="99">
        <v>4</v>
      </c>
      <c r="G266" s="36">
        <f t="shared" si="21"/>
        <v>100</v>
      </c>
      <c r="H266" s="99">
        <f t="shared" si="15"/>
        <v>0</v>
      </c>
      <c r="I266" s="99">
        <f t="shared" si="13"/>
        <v>-38900000</v>
      </c>
      <c r="J266" s="99">
        <f t="shared" si="20"/>
        <v>0</v>
      </c>
      <c r="K266" s="99">
        <f t="shared" si="17"/>
        <v>-38900000</v>
      </c>
      <c r="M266" t="s">
        <v>25</v>
      </c>
    </row>
    <row r="267" spans="1:13">
      <c r="A267" s="99" t="s">
        <v>4537</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4538</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4541</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4541</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4544</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4544</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4547</v>
      </c>
      <c r="B273" s="18">
        <v>-900000</v>
      </c>
      <c r="C273" s="18">
        <v>0</v>
      </c>
      <c r="D273" s="18">
        <f t="shared" si="18"/>
        <v>-900000</v>
      </c>
      <c r="E273" s="99" t="s">
        <v>4553</v>
      </c>
      <c r="F273" s="99">
        <v>1</v>
      </c>
      <c r="G273" s="36">
        <f t="shared" si="21"/>
        <v>92</v>
      </c>
      <c r="H273" s="99">
        <f t="shared" si="15"/>
        <v>0</v>
      </c>
      <c r="I273" s="99">
        <f t="shared" si="13"/>
        <v>-82800000</v>
      </c>
      <c r="J273" s="99">
        <f t="shared" si="20"/>
        <v>0</v>
      </c>
      <c r="K273" s="99">
        <f t="shared" si="17"/>
        <v>-82800000</v>
      </c>
    </row>
    <row r="274" spans="1:12">
      <c r="A274" s="99" t="s">
        <v>4550</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4550</v>
      </c>
      <c r="B275" s="18">
        <v>-1287000</v>
      </c>
      <c r="C275" s="18">
        <v>0</v>
      </c>
      <c r="D275" s="18">
        <f t="shared" si="18"/>
        <v>-1287000</v>
      </c>
      <c r="E275" s="99" t="s">
        <v>4551</v>
      </c>
      <c r="F275" s="99">
        <v>2</v>
      </c>
      <c r="G275" s="36">
        <f t="shared" si="21"/>
        <v>91</v>
      </c>
      <c r="H275" s="99">
        <f t="shared" si="15"/>
        <v>0</v>
      </c>
      <c r="I275" s="99">
        <f t="shared" si="13"/>
        <v>-117117000</v>
      </c>
      <c r="J275" s="99">
        <f t="shared" si="20"/>
        <v>0</v>
      </c>
      <c r="K275" s="99">
        <f t="shared" si="17"/>
        <v>-117117000</v>
      </c>
    </row>
    <row r="276" spans="1:12">
      <c r="A276" s="99" t="s">
        <v>4548</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4559</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4563</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4564</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4566</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4578</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4578</v>
      </c>
      <c r="B285" s="18">
        <v>-3995000</v>
      </c>
      <c r="C285" s="18">
        <v>0</v>
      </c>
      <c r="D285" s="18">
        <f t="shared" si="18"/>
        <v>-3995000</v>
      </c>
      <c r="E285" s="99" t="s">
        <v>4579</v>
      </c>
      <c r="F285" s="99">
        <v>3</v>
      </c>
      <c r="G285" s="36">
        <f t="shared" si="21"/>
        <v>78</v>
      </c>
      <c r="H285" s="99">
        <f t="shared" si="15"/>
        <v>0</v>
      </c>
      <c r="I285" s="99">
        <f t="shared" si="13"/>
        <v>-311610000</v>
      </c>
      <c r="J285" s="99">
        <f t="shared" si="22"/>
        <v>0</v>
      </c>
      <c r="K285" s="99">
        <f t="shared" si="23"/>
        <v>-311610000</v>
      </c>
    </row>
    <row r="286" spans="1:12">
      <c r="A286" s="99" t="s">
        <v>4587</v>
      </c>
      <c r="B286" s="18">
        <v>-2010700</v>
      </c>
      <c r="C286" s="18">
        <v>0</v>
      </c>
      <c r="D286" s="18">
        <f t="shared" si="18"/>
        <v>-2010700</v>
      </c>
      <c r="E286" s="99" t="s">
        <v>4591</v>
      </c>
      <c r="F286" s="99">
        <v>0</v>
      </c>
      <c r="G286" s="36">
        <f t="shared" si="21"/>
        <v>75</v>
      </c>
      <c r="H286" s="99">
        <f t="shared" si="15"/>
        <v>0</v>
      </c>
      <c r="I286" s="99">
        <f t="shared" si="13"/>
        <v>-150802500</v>
      </c>
      <c r="J286" s="99">
        <f t="shared" si="22"/>
        <v>0</v>
      </c>
      <c r="K286" s="99">
        <f t="shared" si="23"/>
        <v>-150802500</v>
      </c>
    </row>
    <row r="287" spans="1:12">
      <c r="A287" s="99" t="s">
        <v>4587</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4592</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4601</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4606</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4610</v>
      </c>
      <c r="B293" s="18">
        <v>-96850</v>
      </c>
      <c r="C293" s="18">
        <v>0</v>
      </c>
      <c r="D293" s="18">
        <f t="shared" si="18"/>
        <v>-96850</v>
      </c>
      <c r="E293" s="99" t="s">
        <v>4614</v>
      </c>
      <c r="F293" s="99">
        <v>2</v>
      </c>
      <c r="G293" s="36">
        <f t="shared" si="21"/>
        <v>67</v>
      </c>
      <c r="H293" s="99">
        <f t="shared" si="15"/>
        <v>0</v>
      </c>
      <c r="I293" s="99">
        <f t="shared" si="13"/>
        <v>-6488950</v>
      </c>
      <c r="J293" s="99">
        <f t="shared" si="22"/>
        <v>0</v>
      </c>
      <c r="K293" s="99">
        <f t="shared" si="23"/>
        <v>-6488950</v>
      </c>
    </row>
    <row r="294" spans="1:13">
      <c r="A294" s="99" t="s">
        <v>4616</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4630</v>
      </c>
      <c r="B296" s="18">
        <v>-200000</v>
      </c>
      <c r="C296" s="18">
        <v>0</v>
      </c>
      <c r="D296" s="18">
        <f t="shared" si="18"/>
        <v>-200000</v>
      </c>
      <c r="E296" s="99" t="s">
        <v>4631</v>
      </c>
      <c r="F296" s="99">
        <v>3</v>
      </c>
      <c r="G296" s="36">
        <f t="shared" si="21"/>
        <v>64</v>
      </c>
      <c r="H296" s="99">
        <f t="shared" si="15"/>
        <v>0</v>
      </c>
      <c r="I296" s="99">
        <f t="shared" si="13"/>
        <v>-12800000</v>
      </c>
      <c r="J296" s="99">
        <f t="shared" si="22"/>
        <v>0</v>
      </c>
      <c r="K296" s="99">
        <f t="shared" si="23"/>
        <v>-12800000</v>
      </c>
    </row>
    <row r="297" spans="1:13">
      <c r="A297" s="99" t="s">
        <v>4640</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4643</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4643</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4643</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4643</v>
      </c>
      <c r="B301" s="18">
        <v>-51400</v>
      </c>
      <c r="C301" s="18">
        <v>0</v>
      </c>
      <c r="D301" s="18">
        <f t="shared" si="18"/>
        <v>-51400</v>
      </c>
      <c r="E301" s="99" t="s">
        <v>4649</v>
      </c>
      <c r="F301" s="99">
        <v>1</v>
      </c>
      <c r="G301" s="36">
        <f t="shared" si="27"/>
        <v>60</v>
      </c>
      <c r="H301" s="99">
        <f t="shared" si="15"/>
        <v>0</v>
      </c>
      <c r="I301" s="99">
        <f t="shared" si="24"/>
        <v>-3084000</v>
      </c>
      <c r="J301" s="99">
        <f t="shared" si="25"/>
        <v>0</v>
      </c>
      <c r="K301" s="99">
        <f t="shared" si="26"/>
        <v>-3084000</v>
      </c>
    </row>
    <row r="302" spans="1:13">
      <c r="A302" s="99" t="s">
        <v>4652</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4652</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4667</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4667</v>
      </c>
      <c r="B305" s="18">
        <v>-276773</v>
      </c>
      <c r="C305" s="18">
        <v>0</v>
      </c>
      <c r="D305" s="18">
        <f t="shared" si="18"/>
        <v>-276773</v>
      </c>
      <c r="E305" s="99" t="s">
        <v>4670</v>
      </c>
      <c r="F305" s="99">
        <v>2</v>
      </c>
      <c r="G305" s="36">
        <f t="shared" si="27"/>
        <v>57</v>
      </c>
      <c r="H305" s="99">
        <f t="shared" si="15"/>
        <v>0</v>
      </c>
      <c r="I305" s="99">
        <f t="shared" si="24"/>
        <v>-15776061</v>
      </c>
      <c r="J305" s="99">
        <f t="shared" si="25"/>
        <v>0</v>
      </c>
      <c r="K305" s="99">
        <f t="shared" si="26"/>
        <v>-15776061</v>
      </c>
    </row>
    <row r="306" spans="1:13">
      <c r="A306" s="99" t="s">
        <v>4671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4680</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4686</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4686</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4688</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4689</v>
      </c>
      <c r="B312" s="18">
        <v>-324747</v>
      </c>
      <c r="C312" s="18">
        <v>0</v>
      </c>
      <c r="D312" s="18">
        <f t="shared" si="18"/>
        <v>-324747</v>
      </c>
      <c r="E312" s="99" t="s">
        <v>4696</v>
      </c>
      <c r="F312" s="99">
        <v>3</v>
      </c>
      <c r="G312" s="36">
        <f t="shared" si="28"/>
        <v>44</v>
      </c>
      <c r="H312" s="99">
        <f t="shared" si="29"/>
        <v>0</v>
      </c>
      <c r="I312" s="99">
        <f t="shared" si="30"/>
        <v>-14288868</v>
      </c>
      <c r="J312" s="99">
        <f t="shared" si="31"/>
        <v>0</v>
      </c>
      <c r="K312" s="99">
        <f t="shared" si="32"/>
        <v>-14288868</v>
      </c>
      <c r="M312" t="s">
        <v>25</v>
      </c>
    </row>
    <row r="313" spans="1:13">
      <c r="A313" s="99" t="s">
        <v>4703</v>
      </c>
      <c r="B313" s="18">
        <v>-297992</v>
      </c>
      <c r="C313" s="18">
        <v>0</v>
      </c>
      <c r="D313" s="18">
        <f t="shared" si="18"/>
        <v>-297992</v>
      </c>
      <c r="E313" s="99" t="s">
        <v>4704</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4712</v>
      </c>
      <c r="B315" s="18">
        <v>-40000</v>
      </c>
      <c r="C315" s="18">
        <v>0</v>
      </c>
      <c r="D315" s="18">
        <f t="shared" si="18"/>
        <v>-40000</v>
      </c>
      <c r="E315" s="99" t="s">
        <v>4720</v>
      </c>
      <c r="F315" s="99">
        <v>4</v>
      </c>
      <c r="G315" s="36">
        <f t="shared" si="28"/>
        <v>38</v>
      </c>
      <c r="H315" s="99">
        <f t="shared" si="29"/>
        <v>0</v>
      </c>
      <c r="I315" s="99">
        <f t="shared" si="30"/>
        <v>-1520000</v>
      </c>
      <c r="J315" s="99">
        <f t="shared" si="31"/>
        <v>0</v>
      </c>
      <c r="K315" s="99">
        <f t="shared" si="32"/>
        <v>-1520000</v>
      </c>
    </row>
    <row r="316" spans="1:13">
      <c r="A316" s="99" t="s">
        <v>4725</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4745</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4753</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4753</v>
      </c>
      <c r="B319" s="18">
        <v>-1866154</v>
      </c>
      <c r="C319" s="18">
        <v>0</v>
      </c>
      <c r="D319" s="18">
        <f t="shared" si="18"/>
        <v>-1866154</v>
      </c>
      <c r="E319" s="19" t="s">
        <v>4759</v>
      </c>
      <c r="F319" s="99">
        <v>0</v>
      </c>
      <c r="G319" s="36">
        <f t="shared" si="28"/>
        <v>29</v>
      </c>
      <c r="H319" s="99">
        <f t="shared" si="29"/>
        <v>0</v>
      </c>
      <c r="I319" s="99">
        <f t="shared" si="30"/>
        <v>-54118466</v>
      </c>
      <c r="J319" s="99">
        <f t="shared" si="31"/>
        <v>0</v>
      </c>
      <c r="K319" s="99">
        <f t="shared" si="32"/>
        <v>-54118466</v>
      </c>
    </row>
    <row r="320" spans="1:13">
      <c r="A320" s="11" t="s">
        <v>4753</v>
      </c>
      <c r="B320" s="18">
        <v>-36600</v>
      </c>
      <c r="C320" s="18">
        <v>0</v>
      </c>
      <c r="D320" s="18">
        <f t="shared" si="18"/>
        <v>-36600</v>
      </c>
      <c r="E320" s="99" t="s">
        <v>4760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4761</v>
      </c>
      <c r="B321" s="18">
        <v>-492000</v>
      </c>
      <c r="C321" s="18">
        <v>0</v>
      </c>
      <c r="D321" s="18">
        <f t="shared" si="18"/>
        <v>-492000</v>
      </c>
      <c r="E321" s="99" t="s">
        <v>4762</v>
      </c>
      <c r="F321" s="99">
        <v>0</v>
      </c>
      <c r="G321" s="36">
        <f t="shared" si="33"/>
        <v>28</v>
      </c>
      <c r="H321" s="99">
        <f t="shared" si="34"/>
        <v>0</v>
      </c>
      <c r="I321" s="99">
        <f t="shared" si="35"/>
        <v>-13776000</v>
      </c>
      <c r="J321" s="99">
        <f t="shared" si="36"/>
        <v>0</v>
      </c>
      <c r="K321" s="99">
        <f t="shared" si="37"/>
        <v>-13776000</v>
      </c>
      <c r="M321" t="s">
        <v>25</v>
      </c>
    </row>
    <row r="322" spans="1:14">
      <c r="A322" s="99" t="s">
        <v>4761</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4761</v>
      </c>
      <c r="B323" s="18">
        <v>-40000</v>
      </c>
      <c r="C323" s="18">
        <v>0</v>
      </c>
      <c r="D323" s="18">
        <f t="shared" si="18"/>
        <v>-40000</v>
      </c>
      <c r="E323" s="99" t="s">
        <v>4764</v>
      </c>
      <c r="F323" s="99">
        <v>1</v>
      </c>
      <c r="G323" s="36">
        <f t="shared" si="33"/>
        <v>28</v>
      </c>
      <c r="H323" s="99">
        <f t="shared" si="34"/>
        <v>0</v>
      </c>
      <c r="I323" s="99">
        <f t="shared" si="35"/>
        <v>-1120000</v>
      </c>
      <c r="J323" s="99">
        <f t="shared" si="36"/>
        <v>0</v>
      </c>
      <c r="K323" s="99">
        <f t="shared" si="37"/>
        <v>-1120000</v>
      </c>
    </row>
    <row r="324" spans="1:14">
      <c r="A324" s="99" t="s">
        <v>4765</v>
      </c>
      <c r="B324" s="18">
        <v>-66000</v>
      </c>
      <c r="C324" s="18">
        <v>0</v>
      </c>
      <c r="D324" s="18">
        <f t="shared" si="18"/>
        <v>-66000</v>
      </c>
      <c r="E324" s="99" t="s">
        <v>4764</v>
      </c>
      <c r="F324" s="99">
        <v>1</v>
      </c>
      <c r="G324" s="36">
        <f t="shared" si="33"/>
        <v>27</v>
      </c>
      <c r="H324" s="99">
        <f t="shared" si="34"/>
        <v>0</v>
      </c>
      <c r="I324" s="99">
        <f t="shared" si="35"/>
        <v>-1782000</v>
      </c>
      <c r="J324" s="99">
        <f t="shared" si="36"/>
        <v>0</v>
      </c>
      <c r="K324" s="99">
        <f t="shared" si="37"/>
        <v>-1782000</v>
      </c>
    </row>
    <row r="325" spans="1:14">
      <c r="A325" s="99" t="s">
        <v>4766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4766</v>
      </c>
      <c r="B326" s="18">
        <v>-200500</v>
      </c>
      <c r="C326" s="18">
        <v>0</v>
      </c>
      <c r="D326" s="18">
        <f t="shared" si="18"/>
        <v>-200500</v>
      </c>
      <c r="E326" s="99" t="s">
        <v>4767</v>
      </c>
      <c r="F326" s="99">
        <v>2</v>
      </c>
      <c r="G326" s="36">
        <f t="shared" si="33"/>
        <v>26</v>
      </c>
      <c r="H326" s="99">
        <f t="shared" si="34"/>
        <v>0</v>
      </c>
      <c r="I326" s="99">
        <f t="shared" si="35"/>
        <v>-5213000</v>
      </c>
      <c r="J326" s="99">
        <f t="shared" si="36"/>
        <v>0</v>
      </c>
      <c r="K326" s="99">
        <f t="shared" si="37"/>
        <v>-5213000</v>
      </c>
      <c r="M326" t="s">
        <v>25</v>
      </c>
    </row>
    <row r="327" spans="1:14">
      <c r="A327" s="99" t="s">
        <v>4771</v>
      </c>
      <c r="B327" s="18">
        <v>1563000</v>
      </c>
      <c r="C327" s="18">
        <v>0</v>
      </c>
      <c r="D327" s="18">
        <f t="shared" si="18"/>
        <v>1563000</v>
      </c>
      <c r="E327" s="99" t="s">
        <v>4775</v>
      </c>
      <c r="F327" s="99">
        <v>0</v>
      </c>
      <c r="G327" s="36">
        <f t="shared" si="33"/>
        <v>24</v>
      </c>
      <c r="H327" s="99">
        <f t="shared" si="34"/>
        <v>1</v>
      </c>
      <c r="I327" s="99">
        <f t="shared" si="35"/>
        <v>35949000</v>
      </c>
      <c r="J327" s="99">
        <f t="shared" si="36"/>
        <v>0</v>
      </c>
      <c r="K327" s="99">
        <f t="shared" si="37"/>
        <v>35949000</v>
      </c>
    </row>
    <row r="328" spans="1:14">
      <c r="A328" s="99" t="s">
        <v>4771</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4783</v>
      </c>
      <c r="B329" s="18">
        <v>-20000</v>
      </c>
      <c r="C329" s="18">
        <v>0</v>
      </c>
      <c r="D329" s="18">
        <f t="shared" si="18"/>
        <v>-20000</v>
      </c>
      <c r="E329" s="99" t="s">
        <v>4787</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4797</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4802</v>
      </c>
      <c r="F331" s="99">
        <v>2</v>
      </c>
      <c r="G331" s="36">
        <f t="shared" si="33"/>
        <v>19</v>
      </c>
      <c r="H331" s="99">
        <f t="shared" si="34"/>
        <v>0</v>
      </c>
      <c r="I331" s="99">
        <f t="shared" si="35"/>
        <v>-15019500</v>
      </c>
      <c r="J331" s="99">
        <f t="shared" si="36"/>
        <v>0</v>
      </c>
      <c r="K331" s="99">
        <f t="shared" si="37"/>
        <v>-15019500</v>
      </c>
    </row>
    <row r="332" spans="1:14">
      <c r="A332" s="99" t="s">
        <v>4806</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4818</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4818</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4818</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4820</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4821</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4821</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4826</v>
      </c>
      <c r="B341" s="18">
        <v>433375</v>
      </c>
      <c r="C341" s="18">
        <v>0</v>
      </c>
      <c r="D341" s="18">
        <f t="shared" si="18"/>
        <v>433375</v>
      </c>
      <c r="E341" s="99" t="s">
        <v>4829</v>
      </c>
      <c r="F341" s="99">
        <v>1</v>
      </c>
      <c r="G341" s="36">
        <f t="shared" si="38"/>
        <v>11</v>
      </c>
      <c r="H341" s="99">
        <f t="shared" si="39"/>
        <v>1</v>
      </c>
      <c r="I341" s="99">
        <f t="shared" si="40"/>
        <v>4333750</v>
      </c>
      <c r="J341" s="99">
        <f t="shared" si="41"/>
        <v>0</v>
      </c>
      <c r="K341" s="99">
        <f t="shared" si="42"/>
        <v>4333750</v>
      </c>
      <c r="M341" t="s">
        <v>25</v>
      </c>
    </row>
    <row r="342" spans="1:13">
      <c r="A342" s="99" t="s">
        <v>4835</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4835</v>
      </c>
      <c r="B343" s="18">
        <v>-300000</v>
      </c>
      <c r="C343" s="18">
        <v>0</v>
      </c>
      <c r="D343" s="18">
        <f t="shared" si="18"/>
        <v>-300000</v>
      </c>
      <c r="E343" s="99" t="s">
        <v>4838</v>
      </c>
      <c r="F343" s="99">
        <v>0</v>
      </c>
      <c r="G343" s="36">
        <f t="shared" si="43"/>
        <v>10</v>
      </c>
      <c r="H343" s="99">
        <f t="shared" si="44"/>
        <v>0</v>
      </c>
      <c r="I343" s="99">
        <f t="shared" si="45"/>
        <v>-3000000</v>
      </c>
      <c r="J343" s="99">
        <f t="shared" si="46"/>
        <v>0</v>
      </c>
      <c r="K343" s="99">
        <f t="shared" si="47"/>
        <v>-3000000</v>
      </c>
    </row>
    <row r="344" spans="1:13">
      <c r="A344" s="99" t="s">
        <v>4835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4840</v>
      </c>
      <c r="F345" s="99">
        <v>3</v>
      </c>
      <c r="G345" s="36">
        <f t="shared" si="43"/>
        <v>9</v>
      </c>
      <c r="H345" s="99">
        <f t="shared" si="44"/>
        <v>0</v>
      </c>
      <c r="I345" s="99">
        <f t="shared" si="45"/>
        <v>-12759543</v>
      </c>
      <c r="J345" s="99">
        <f t="shared" si="46"/>
        <v>0</v>
      </c>
      <c r="K345" s="99">
        <f t="shared" si="47"/>
        <v>-12759543</v>
      </c>
      <c r="L345" t="s">
        <v>25</v>
      </c>
    </row>
    <row r="346" spans="1:13">
      <c r="A346" s="99" t="s">
        <v>4845</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4842</v>
      </c>
      <c r="B347" s="18">
        <v>-960200</v>
      </c>
      <c r="C347" s="18">
        <v>0</v>
      </c>
      <c r="D347" s="18">
        <f t="shared" si="18"/>
        <v>-960200</v>
      </c>
      <c r="E347" s="99" t="s">
        <v>4846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4559</v>
      </c>
      <c r="B73" s="113">
        <v>100000</v>
      </c>
      <c r="C73" s="99" t="s">
        <v>3889</v>
      </c>
      <c r="D73" s="99">
        <v>50</v>
      </c>
      <c r="E73" s="99">
        <f t="shared" si="3"/>
        <v>52</v>
      </c>
      <c r="F73" s="99">
        <f t="shared" si="1"/>
        <v>1</v>
      </c>
      <c r="G73" s="99">
        <f t="shared" si="2"/>
        <v>5100000</v>
      </c>
    </row>
    <row r="74" spans="1:9">
      <c r="A74" s="99" t="s">
        <v>4712</v>
      </c>
      <c r="B74" s="113">
        <v>-38130</v>
      </c>
      <c r="C74" s="99" t="s">
        <v>1038</v>
      </c>
      <c r="D74" s="99">
        <v>1</v>
      </c>
      <c r="E74" s="99">
        <f t="shared" si="3"/>
        <v>2</v>
      </c>
      <c r="F74" s="99">
        <f t="shared" si="1"/>
        <v>0</v>
      </c>
      <c r="G74" s="99">
        <f t="shared" si="2"/>
        <v>-76260</v>
      </c>
      <c r="I74" t="s">
        <v>25</v>
      </c>
    </row>
    <row r="75" spans="1:9">
      <c r="A75" s="99" t="s">
        <v>4716</v>
      </c>
      <c r="B75" s="113">
        <v>-20000</v>
      </c>
      <c r="C75" s="99" t="s">
        <v>4721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27" activePane="bottomLeft" state="frozen"/>
      <selection pane="bottomLeft" activeCell="K349" sqref="K34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1235</v>
      </c>
      <c r="E2" s="11">
        <f>IF(B2&gt;0,1,0)</f>
        <v>1</v>
      </c>
      <c r="F2" s="11">
        <f>B2*(D2-E2)</f>
        <v>119327800</v>
      </c>
      <c r="G2" s="11" t="s">
        <v>1</v>
      </c>
    </row>
    <row r="3" spans="1:7">
      <c r="A3" s="11" t="s">
        <v>394</v>
      </c>
      <c r="B3" s="3">
        <v>3000000</v>
      </c>
      <c r="C3" s="11">
        <v>3</v>
      </c>
      <c r="D3" s="11">
        <f t="shared" si="0"/>
        <v>1233</v>
      </c>
      <c r="E3" s="11">
        <f t="shared" ref="E3:E66" si="1">IF(B3&gt;0,1,0)</f>
        <v>1</v>
      </c>
      <c r="F3" s="11">
        <f t="shared" ref="F3:F66" si="2">B3*(D3-E3)</f>
        <v>3696000000</v>
      </c>
      <c r="G3" s="11"/>
    </row>
    <row r="4" spans="1:7">
      <c r="A4" s="11" t="s">
        <v>393</v>
      </c>
      <c r="B4" s="3">
        <v>-200000</v>
      </c>
      <c r="C4" s="11">
        <v>2</v>
      </c>
      <c r="D4" s="11">
        <f t="shared" si="0"/>
        <v>1230</v>
      </c>
      <c r="E4" s="11">
        <f t="shared" si="1"/>
        <v>0</v>
      </c>
      <c r="F4" s="11">
        <f t="shared" si="2"/>
        <v>-246000000</v>
      </c>
      <c r="G4" s="11"/>
    </row>
    <row r="5" spans="1:7">
      <c r="A5" s="11" t="s">
        <v>392</v>
      </c>
      <c r="B5" s="3">
        <v>-100000</v>
      </c>
      <c r="C5" s="11">
        <v>1</v>
      </c>
      <c r="D5" s="11">
        <f t="shared" si="0"/>
        <v>1228</v>
      </c>
      <c r="E5" s="11">
        <f t="shared" si="1"/>
        <v>0</v>
      </c>
      <c r="F5" s="11">
        <f t="shared" si="2"/>
        <v>-122800000</v>
      </c>
      <c r="G5" s="11"/>
    </row>
    <row r="6" spans="1:7">
      <c r="A6" s="11" t="s">
        <v>391</v>
      </c>
      <c r="B6" s="3">
        <v>-55000</v>
      </c>
      <c r="C6" s="11">
        <v>1</v>
      </c>
      <c r="D6" s="11">
        <f t="shared" si="0"/>
        <v>1227</v>
      </c>
      <c r="E6" s="11">
        <f t="shared" si="1"/>
        <v>0</v>
      </c>
      <c r="F6" s="11">
        <f t="shared" si="2"/>
        <v>-67485000</v>
      </c>
      <c r="G6" s="11"/>
    </row>
    <row r="7" spans="1:7">
      <c r="A7" s="11" t="s">
        <v>390</v>
      </c>
      <c r="B7" s="3">
        <v>-200000</v>
      </c>
      <c r="C7" s="11">
        <v>4</v>
      </c>
      <c r="D7" s="11">
        <f t="shared" si="0"/>
        <v>1226</v>
      </c>
      <c r="E7" s="11">
        <f t="shared" si="1"/>
        <v>0</v>
      </c>
      <c r="F7" s="11">
        <f t="shared" si="2"/>
        <v>-245200000</v>
      </c>
      <c r="G7" s="11"/>
    </row>
    <row r="8" spans="1:7">
      <c r="A8" s="11" t="s">
        <v>389</v>
      </c>
      <c r="B8" s="3">
        <v>-200000</v>
      </c>
      <c r="C8" s="11">
        <v>10</v>
      </c>
      <c r="D8" s="11">
        <f t="shared" si="0"/>
        <v>1222</v>
      </c>
      <c r="E8" s="11">
        <f t="shared" si="1"/>
        <v>0</v>
      </c>
      <c r="F8" s="11">
        <f t="shared" si="2"/>
        <v>-244400000</v>
      </c>
      <c r="G8" s="11"/>
    </row>
    <row r="9" spans="1:7">
      <c r="A9" s="11" t="s">
        <v>388</v>
      </c>
      <c r="B9" s="3">
        <v>-950500</v>
      </c>
      <c r="C9" s="11">
        <v>1</v>
      </c>
      <c r="D9" s="11">
        <f t="shared" si="0"/>
        <v>1212</v>
      </c>
      <c r="E9" s="11">
        <f t="shared" si="1"/>
        <v>0</v>
      </c>
      <c r="F9" s="11">
        <f t="shared" si="2"/>
        <v>-1152006000</v>
      </c>
      <c r="G9" s="11"/>
    </row>
    <row r="10" spans="1:7">
      <c r="A10" s="23" t="s">
        <v>387</v>
      </c>
      <c r="B10" s="3">
        <v>2000000</v>
      </c>
      <c r="C10" s="11">
        <v>2</v>
      </c>
      <c r="D10" s="11">
        <f t="shared" si="0"/>
        <v>1211</v>
      </c>
      <c r="E10" s="11">
        <f t="shared" si="1"/>
        <v>1</v>
      </c>
      <c r="F10" s="11">
        <f t="shared" si="2"/>
        <v>2420000000</v>
      </c>
      <c r="G10" s="11"/>
    </row>
    <row r="11" spans="1:7">
      <c r="A11" s="11" t="s">
        <v>386</v>
      </c>
      <c r="B11" s="3">
        <v>-1065000</v>
      </c>
      <c r="C11" s="11">
        <v>3</v>
      </c>
      <c r="D11" s="11">
        <f t="shared" si="0"/>
        <v>1209</v>
      </c>
      <c r="E11" s="11">
        <f t="shared" si="1"/>
        <v>0</v>
      </c>
      <c r="F11" s="11">
        <f t="shared" si="2"/>
        <v>-1287585000</v>
      </c>
      <c r="G11" s="11"/>
    </row>
    <row r="12" spans="1:7">
      <c r="A12" s="11" t="s">
        <v>385</v>
      </c>
      <c r="B12" s="3">
        <v>-45000</v>
      </c>
      <c r="C12" s="11">
        <v>1</v>
      </c>
      <c r="D12" s="11">
        <f t="shared" si="0"/>
        <v>1206</v>
      </c>
      <c r="E12" s="11">
        <f t="shared" si="1"/>
        <v>0</v>
      </c>
      <c r="F12" s="11">
        <f t="shared" si="2"/>
        <v>-54270000</v>
      </c>
      <c r="G12" s="11"/>
    </row>
    <row r="13" spans="1:7">
      <c r="A13" s="11" t="s">
        <v>384</v>
      </c>
      <c r="B13" s="3">
        <v>-2000700</v>
      </c>
      <c r="C13" s="11">
        <v>4</v>
      </c>
      <c r="D13" s="11">
        <f t="shared" si="0"/>
        <v>1205</v>
      </c>
      <c r="E13" s="11">
        <f t="shared" si="1"/>
        <v>0</v>
      </c>
      <c r="F13" s="11">
        <f t="shared" si="2"/>
        <v>-2410843500</v>
      </c>
      <c r="G13" s="11"/>
    </row>
    <row r="14" spans="1:7">
      <c r="A14" s="23" t="s">
        <v>383</v>
      </c>
      <c r="B14" s="3">
        <v>-200000</v>
      </c>
      <c r="C14" s="11">
        <v>2</v>
      </c>
      <c r="D14" s="11">
        <f t="shared" si="0"/>
        <v>1201</v>
      </c>
      <c r="E14" s="11">
        <f t="shared" si="1"/>
        <v>0</v>
      </c>
      <c r="F14" s="11">
        <f t="shared" si="2"/>
        <v>-240200000</v>
      </c>
      <c r="G14" s="11"/>
    </row>
    <row r="15" spans="1:7">
      <c r="A15" s="11" t="s">
        <v>382</v>
      </c>
      <c r="B15" s="3">
        <v>2000000</v>
      </c>
      <c r="C15" s="11">
        <v>0</v>
      </c>
      <c r="D15" s="11">
        <f t="shared" si="0"/>
        <v>1199</v>
      </c>
      <c r="E15" s="11">
        <f t="shared" si="1"/>
        <v>1</v>
      </c>
      <c r="F15" s="11">
        <f t="shared" si="2"/>
        <v>2396000000</v>
      </c>
      <c r="G15" s="11"/>
    </row>
    <row r="16" spans="1:7">
      <c r="A16" s="11" t="s">
        <v>382</v>
      </c>
      <c r="B16" s="3">
        <v>2000000</v>
      </c>
      <c r="C16" s="11">
        <v>0</v>
      </c>
      <c r="D16" s="11">
        <f t="shared" si="0"/>
        <v>1199</v>
      </c>
      <c r="E16" s="11">
        <f t="shared" si="1"/>
        <v>1</v>
      </c>
      <c r="F16" s="11">
        <f t="shared" si="2"/>
        <v>2396000000</v>
      </c>
      <c r="G16" s="11"/>
    </row>
    <row r="17" spans="1:12">
      <c r="A17" s="11" t="s">
        <v>382</v>
      </c>
      <c r="B17" s="3">
        <v>1200000</v>
      </c>
      <c r="C17" s="11">
        <v>0</v>
      </c>
      <c r="D17" s="11">
        <f t="shared" si="0"/>
        <v>1199</v>
      </c>
      <c r="E17" s="11">
        <f t="shared" si="1"/>
        <v>1</v>
      </c>
      <c r="F17" s="11">
        <f t="shared" si="2"/>
        <v>1437600000</v>
      </c>
      <c r="G17" s="11"/>
    </row>
    <row r="18" spans="1:12">
      <c r="A18" s="11" t="s">
        <v>382</v>
      </c>
      <c r="B18" s="3">
        <v>1000000</v>
      </c>
      <c r="C18" s="11">
        <v>1</v>
      </c>
      <c r="D18" s="11">
        <f t="shared" si="0"/>
        <v>1199</v>
      </c>
      <c r="E18" s="11">
        <f t="shared" si="1"/>
        <v>1</v>
      </c>
      <c r="F18" s="11">
        <f t="shared" si="2"/>
        <v>1198000000</v>
      </c>
      <c r="G18" s="11"/>
    </row>
    <row r="19" spans="1:12">
      <c r="A19" s="11" t="s">
        <v>381</v>
      </c>
      <c r="B19" s="3">
        <v>3000000</v>
      </c>
      <c r="C19" s="11">
        <v>0</v>
      </c>
      <c r="D19" s="11">
        <f t="shared" si="0"/>
        <v>1198</v>
      </c>
      <c r="E19" s="11">
        <f t="shared" si="1"/>
        <v>1</v>
      </c>
      <c r="F19" s="11">
        <f t="shared" si="2"/>
        <v>3591000000</v>
      </c>
      <c r="G19" s="11"/>
      <c r="L19" t="s">
        <v>25</v>
      </c>
    </row>
    <row r="20" spans="1:12">
      <c r="A20" s="11" t="s">
        <v>381</v>
      </c>
      <c r="B20" s="3">
        <v>-432700</v>
      </c>
      <c r="C20" s="11">
        <v>0</v>
      </c>
      <c r="D20" s="11">
        <f t="shared" si="0"/>
        <v>1198</v>
      </c>
      <c r="E20" s="11">
        <f t="shared" si="1"/>
        <v>0</v>
      </c>
      <c r="F20" s="11">
        <f t="shared" si="2"/>
        <v>-518374600</v>
      </c>
      <c r="G20" s="11"/>
    </row>
    <row r="21" spans="1:12">
      <c r="A21" s="11" t="s">
        <v>381</v>
      </c>
      <c r="B21" s="3">
        <v>-432700</v>
      </c>
      <c r="C21" s="11">
        <v>0</v>
      </c>
      <c r="D21" s="11">
        <f t="shared" si="0"/>
        <v>1198</v>
      </c>
      <c r="E21" s="11">
        <f t="shared" si="1"/>
        <v>0</v>
      </c>
      <c r="F21" s="11">
        <f t="shared" si="2"/>
        <v>-518374600</v>
      </c>
      <c r="G21" s="11"/>
    </row>
    <row r="22" spans="1:12">
      <c r="A22" s="11" t="s">
        <v>381</v>
      </c>
      <c r="B22" s="3">
        <v>-432700</v>
      </c>
      <c r="C22" s="11">
        <v>0</v>
      </c>
      <c r="D22" s="11">
        <f t="shared" si="0"/>
        <v>1198</v>
      </c>
      <c r="E22" s="11">
        <f t="shared" si="1"/>
        <v>0</v>
      </c>
      <c r="F22" s="11">
        <f t="shared" si="2"/>
        <v>-518374600</v>
      </c>
      <c r="G22" s="11"/>
    </row>
    <row r="23" spans="1:12">
      <c r="A23" s="11" t="s">
        <v>381</v>
      </c>
      <c r="B23" s="3">
        <v>-432700</v>
      </c>
      <c r="C23" s="11">
        <v>0</v>
      </c>
      <c r="D23" s="11">
        <f t="shared" si="0"/>
        <v>1198</v>
      </c>
      <c r="E23" s="11">
        <f t="shared" si="1"/>
        <v>0</v>
      </c>
      <c r="F23" s="11">
        <f t="shared" si="2"/>
        <v>-518374600</v>
      </c>
      <c r="G23" s="11"/>
    </row>
    <row r="24" spans="1:12">
      <c r="A24" s="11" t="s">
        <v>381</v>
      </c>
      <c r="B24" s="3">
        <v>-432700</v>
      </c>
      <c r="C24" s="11">
        <v>0</v>
      </c>
      <c r="D24" s="11">
        <f t="shared" si="0"/>
        <v>1198</v>
      </c>
      <c r="E24" s="11">
        <f t="shared" si="1"/>
        <v>0</v>
      </c>
      <c r="F24" s="11">
        <f t="shared" si="2"/>
        <v>-518374600</v>
      </c>
      <c r="G24" s="11"/>
    </row>
    <row r="25" spans="1:12">
      <c r="A25" s="11" t="s">
        <v>381</v>
      </c>
      <c r="B25" s="3">
        <v>-200000</v>
      </c>
      <c r="C25" s="11">
        <v>1</v>
      </c>
      <c r="D25" s="11">
        <f t="shared" si="0"/>
        <v>1198</v>
      </c>
      <c r="E25" s="11">
        <f t="shared" si="1"/>
        <v>0</v>
      </c>
      <c r="F25" s="11">
        <f t="shared" si="2"/>
        <v>-239600000</v>
      </c>
      <c r="G25" s="11"/>
    </row>
    <row r="26" spans="1:12">
      <c r="A26" s="11" t="s">
        <v>380</v>
      </c>
      <c r="B26" s="3">
        <v>3000000</v>
      </c>
      <c r="C26" s="11">
        <v>2</v>
      </c>
      <c r="D26" s="11">
        <f t="shared" si="0"/>
        <v>1197</v>
      </c>
      <c r="E26" s="11">
        <f t="shared" si="1"/>
        <v>1</v>
      </c>
      <c r="F26" s="11">
        <f t="shared" si="2"/>
        <v>3588000000</v>
      </c>
      <c r="G26" s="11"/>
    </row>
    <row r="27" spans="1:12">
      <c r="A27" s="11" t="s">
        <v>379</v>
      </c>
      <c r="B27" s="3">
        <v>-200000</v>
      </c>
      <c r="C27" s="11">
        <v>1</v>
      </c>
      <c r="D27" s="11">
        <f t="shared" si="0"/>
        <v>1195</v>
      </c>
      <c r="E27" s="11">
        <f t="shared" si="1"/>
        <v>0</v>
      </c>
      <c r="F27" s="11">
        <f t="shared" si="2"/>
        <v>-239000000</v>
      </c>
      <c r="G27" s="11"/>
    </row>
    <row r="28" spans="1:12">
      <c r="A28" s="11" t="s">
        <v>378</v>
      </c>
      <c r="B28" s="3">
        <v>2000000</v>
      </c>
      <c r="C28" s="11">
        <v>1</v>
      </c>
      <c r="D28" s="11">
        <f t="shared" si="0"/>
        <v>1194</v>
      </c>
      <c r="E28" s="11">
        <f t="shared" si="1"/>
        <v>1</v>
      </c>
      <c r="F28" s="11">
        <f t="shared" si="2"/>
        <v>2386000000</v>
      </c>
      <c r="G28" s="11"/>
    </row>
    <row r="29" spans="1:12">
      <c r="A29" s="11" t="s">
        <v>377</v>
      </c>
      <c r="B29" s="3">
        <v>-7000800</v>
      </c>
      <c r="C29" s="11">
        <v>1</v>
      </c>
      <c r="D29" s="11">
        <f t="shared" si="0"/>
        <v>1193</v>
      </c>
      <c r="E29" s="11">
        <f t="shared" si="1"/>
        <v>0</v>
      </c>
      <c r="F29" s="11">
        <f t="shared" si="2"/>
        <v>-8351954400</v>
      </c>
      <c r="G29" s="11"/>
    </row>
    <row r="30" spans="1:12">
      <c r="A30" s="23" t="s">
        <v>54</v>
      </c>
      <c r="B30" s="3">
        <v>-3000900</v>
      </c>
      <c r="C30" s="11">
        <v>1</v>
      </c>
      <c r="D30" s="11">
        <f t="shared" si="0"/>
        <v>1192</v>
      </c>
      <c r="E30" s="11">
        <f t="shared" si="1"/>
        <v>0</v>
      </c>
      <c r="F30" s="11">
        <f t="shared" si="2"/>
        <v>-3577072800</v>
      </c>
      <c r="G30" s="11"/>
    </row>
    <row r="31" spans="1:12">
      <c r="A31" s="11" t="s">
        <v>55</v>
      </c>
      <c r="B31" s="3">
        <v>-1695900</v>
      </c>
      <c r="C31" s="11">
        <v>3</v>
      </c>
      <c r="D31" s="11">
        <f t="shared" si="0"/>
        <v>1191</v>
      </c>
      <c r="E31" s="11">
        <f t="shared" si="1"/>
        <v>0</v>
      </c>
      <c r="F31" s="11">
        <f t="shared" si="2"/>
        <v>-2019816900</v>
      </c>
      <c r="G31" s="11"/>
    </row>
    <row r="32" spans="1:12">
      <c r="A32" s="11" t="s">
        <v>376</v>
      </c>
      <c r="B32" s="3">
        <v>994300</v>
      </c>
      <c r="C32" s="11">
        <v>6</v>
      </c>
      <c r="D32" s="11">
        <f t="shared" si="0"/>
        <v>1188</v>
      </c>
      <c r="E32" s="11">
        <f t="shared" si="1"/>
        <v>1</v>
      </c>
      <c r="F32" s="11">
        <f t="shared" si="2"/>
        <v>1180234100</v>
      </c>
      <c r="G32" s="11"/>
    </row>
    <row r="33" spans="1:7">
      <c r="A33" s="11" t="s">
        <v>374</v>
      </c>
      <c r="B33" s="3">
        <v>35091</v>
      </c>
      <c r="C33" s="11">
        <v>1</v>
      </c>
      <c r="D33" s="11">
        <f t="shared" si="0"/>
        <v>1182</v>
      </c>
      <c r="E33" s="11">
        <f t="shared" si="1"/>
        <v>1</v>
      </c>
      <c r="F33" s="11">
        <f t="shared" si="2"/>
        <v>41442471</v>
      </c>
      <c r="G33" s="11" t="s">
        <v>375</v>
      </c>
    </row>
    <row r="34" spans="1:7">
      <c r="A34" s="11" t="s">
        <v>373</v>
      </c>
      <c r="B34" s="3">
        <v>-850000</v>
      </c>
      <c r="C34" s="11">
        <v>8</v>
      </c>
      <c r="D34" s="11">
        <f t="shared" si="0"/>
        <v>1181</v>
      </c>
      <c r="E34" s="11">
        <f t="shared" si="1"/>
        <v>0</v>
      </c>
      <c r="F34" s="11">
        <f t="shared" si="2"/>
        <v>-1003850000</v>
      </c>
      <c r="G34" s="11"/>
    </row>
    <row r="35" spans="1:7">
      <c r="A35" s="23" t="s">
        <v>372</v>
      </c>
      <c r="B35" s="3">
        <v>-190500</v>
      </c>
      <c r="C35" s="11">
        <v>1</v>
      </c>
      <c r="D35" s="11">
        <f t="shared" si="0"/>
        <v>1173</v>
      </c>
      <c r="E35" s="11">
        <f t="shared" si="1"/>
        <v>0</v>
      </c>
      <c r="F35" s="11">
        <f t="shared" si="2"/>
        <v>-223456500</v>
      </c>
      <c r="G35" s="11"/>
    </row>
    <row r="36" spans="1:7">
      <c r="A36" s="37" t="s">
        <v>80</v>
      </c>
      <c r="B36" s="3">
        <v>200000</v>
      </c>
      <c r="C36" s="11">
        <v>0</v>
      </c>
      <c r="D36" s="11">
        <f t="shared" si="0"/>
        <v>1172</v>
      </c>
      <c r="E36" s="11">
        <f t="shared" si="1"/>
        <v>1</v>
      </c>
      <c r="F36" s="11">
        <f t="shared" si="2"/>
        <v>234200000</v>
      </c>
      <c r="G36" s="11"/>
    </row>
    <row r="37" spans="1:7">
      <c r="A37" s="11" t="s">
        <v>80</v>
      </c>
      <c r="B37" s="3">
        <v>-200000</v>
      </c>
      <c r="C37" s="11">
        <v>22</v>
      </c>
      <c r="D37" s="11">
        <f t="shared" si="0"/>
        <v>1172</v>
      </c>
      <c r="E37" s="11">
        <f t="shared" si="1"/>
        <v>0</v>
      </c>
      <c r="F37" s="11">
        <f t="shared" si="2"/>
        <v>-234400000</v>
      </c>
      <c r="G37" s="11"/>
    </row>
    <row r="38" spans="1:7">
      <c r="A38" s="23" t="s">
        <v>371</v>
      </c>
      <c r="B38" s="3">
        <v>300806</v>
      </c>
      <c r="C38" s="11">
        <v>1</v>
      </c>
      <c r="D38" s="11">
        <f t="shared" si="0"/>
        <v>1150</v>
      </c>
      <c r="E38" s="11">
        <f t="shared" si="1"/>
        <v>1</v>
      </c>
      <c r="F38" s="11">
        <f t="shared" si="2"/>
        <v>345626094</v>
      </c>
      <c r="G38" s="11" t="s">
        <v>395</v>
      </c>
    </row>
    <row r="39" spans="1:7">
      <c r="A39" s="11" t="s">
        <v>370</v>
      </c>
      <c r="B39" s="3">
        <v>-95000</v>
      </c>
      <c r="C39" s="11">
        <v>0</v>
      </c>
      <c r="D39" s="11">
        <f t="shared" si="0"/>
        <v>1149</v>
      </c>
      <c r="E39" s="11">
        <f t="shared" si="1"/>
        <v>0</v>
      </c>
      <c r="F39" s="11">
        <f t="shared" si="2"/>
        <v>-109155000</v>
      </c>
      <c r="G39" s="11"/>
    </row>
    <row r="40" spans="1:7">
      <c r="A40" s="11" t="s">
        <v>370</v>
      </c>
      <c r="B40" s="3">
        <v>-88103</v>
      </c>
      <c r="C40" s="11">
        <v>5</v>
      </c>
      <c r="D40" s="11">
        <f t="shared" si="0"/>
        <v>1149</v>
      </c>
      <c r="E40" s="11">
        <f t="shared" si="1"/>
        <v>0</v>
      </c>
      <c r="F40" s="11">
        <f t="shared" si="2"/>
        <v>-101230347</v>
      </c>
      <c r="G40" s="11"/>
    </row>
    <row r="41" spans="1:7">
      <c r="A41" s="11" t="s">
        <v>369</v>
      </c>
      <c r="B41" s="3">
        <v>-120000</v>
      </c>
      <c r="C41" s="11">
        <v>22</v>
      </c>
      <c r="D41" s="11">
        <f t="shared" si="0"/>
        <v>1144</v>
      </c>
      <c r="E41" s="11">
        <f t="shared" si="1"/>
        <v>0</v>
      </c>
      <c r="F41" s="11">
        <f t="shared" si="2"/>
        <v>-137280000</v>
      </c>
      <c r="G41" s="11"/>
    </row>
    <row r="42" spans="1:7">
      <c r="A42" s="11" t="s">
        <v>368</v>
      </c>
      <c r="B42" s="3">
        <v>1000204</v>
      </c>
      <c r="C42" s="11">
        <v>4</v>
      </c>
      <c r="D42" s="11">
        <f t="shared" si="0"/>
        <v>1122</v>
      </c>
      <c r="E42" s="11">
        <f t="shared" si="1"/>
        <v>1</v>
      </c>
      <c r="F42" s="11">
        <f t="shared" si="2"/>
        <v>1121228684</v>
      </c>
      <c r="G42" s="11" t="s">
        <v>396</v>
      </c>
    </row>
    <row r="43" spans="1:7">
      <c r="A43" s="11" t="s">
        <v>367</v>
      </c>
      <c r="B43" s="3">
        <v>-80000</v>
      </c>
      <c r="C43" s="11">
        <v>4</v>
      </c>
      <c r="D43" s="11">
        <f t="shared" si="0"/>
        <v>1118</v>
      </c>
      <c r="E43" s="11">
        <f t="shared" si="1"/>
        <v>0</v>
      </c>
      <c r="F43" s="11">
        <f t="shared" si="2"/>
        <v>-89440000</v>
      </c>
      <c r="G43" s="11"/>
    </row>
    <row r="44" spans="1:7">
      <c r="A44" s="11" t="s">
        <v>366</v>
      </c>
      <c r="B44" s="3">
        <v>-211029</v>
      </c>
      <c r="C44" s="11">
        <v>1</v>
      </c>
      <c r="D44" s="11">
        <f t="shared" si="0"/>
        <v>1114</v>
      </c>
      <c r="E44" s="11">
        <f t="shared" si="1"/>
        <v>0</v>
      </c>
      <c r="F44" s="11">
        <f t="shared" si="2"/>
        <v>-235086306</v>
      </c>
      <c r="G44" s="11"/>
    </row>
    <row r="45" spans="1:7">
      <c r="A45" s="11" t="s">
        <v>365</v>
      </c>
      <c r="B45" s="3">
        <v>-200000</v>
      </c>
      <c r="C45" s="11">
        <v>1</v>
      </c>
      <c r="D45" s="11">
        <f t="shared" si="0"/>
        <v>1113</v>
      </c>
      <c r="E45" s="11">
        <f t="shared" si="1"/>
        <v>0</v>
      </c>
      <c r="F45" s="11">
        <f t="shared" si="2"/>
        <v>-222600000</v>
      </c>
      <c r="G45" s="11"/>
    </row>
    <row r="46" spans="1:7">
      <c r="A46" s="11" t="s">
        <v>364</v>
      </c>
      <c r="B46" s="3">
        <v>-95000</v>
      </c>
      <c r="C46" s="11">
        <v>2</v>
      </c>
      <c r="D46" s="11">
        <f t="shared" si="0"/>
        <v>1112</v>
      </c>
      <c r="E46" s="11">
        <f t="shared" si="1"/>
        <v>0</v>
      </c>
      <c r="F46" s="11">
        <f t="shared" si="2"/>
        <v>-105640000</v>
      </c>
      <c r="G46" s="11"/>
    </row>
    <row r="47" spans="1:7">
      <c r="A47" s="11" t="s">
        <v>363</v>
      </c>
      <c r="B47" s="3">
        <v>-45000</v>
      </c>
      <c r="C47" s="11">
        <v>0</v>
      </c>
      <c r="D47" s="11">
        <f t="shared" si="0"/>
        <v>1110</v>
      </c>
      <c r="E47" s="11">
        <f t="shared" si="1"/>
        <v>0</v>
      </c>
      <c r="F47" s="11">
        <f t="shared" si="2"/>
        <v>-49950000</v>
      </c>
      <c r="G47" s="11"/>
    </row>
    <row r="48" spans="1:7">
      <c r="A48" s="11" t="s">
        <v>363</v>
      </c>
      <c r="B48" s="3">
        <v>-64180</v>
      </c>
      <c r="C48" s="11">
        <v>3</v>
      </c>
      <c r="D48" s="11">
        <f t="shared" si="0"/>
        <v>1110</v>
      </c>
      <c r="E48" s="11">
        <f t="shared" si="1"/>
        <v>0</v>
      </c>
      <c r="F48" s="11">
        <f t="shared" si="2"/>
        <v>-71239800</v>
      </c>
      <c r="G48" s="11"/>
    </row>
    <row r="49" spans="1:7">
      <c r="A49" s="11" t="s">
        <v>362</v>
      </c>
      <c r="B49" s="3">
        <v>-27484</v>
      </c>
      <c r="C49" s="11">
        <v>1</v>
      </c>
      <c r="D49" s="11">
        <f t="shared" si="0"/>
        <v>1107</v>
      </c>
      <c r="E49" s="11">
        <f t="shared" si="1"/>
        <v>0</v>
      </c>
      <c r="F49" s="11">
        <f t="shared" si="2"/>
        <v>-30424788</v>
      </c>
      <c r="G49" s="11"/>
    </row>
    <row r="50" spans="1:7">
      <c r="A50" s="11" t="s">
        <v>361</v>
      </c>
      <c r="B50" s="3">
        <v>-141000</v>
      </c>
      <c r="C50" s="11">
        <v>0</v>
      </c>
      <c r="D50" s="11">
        <f t="shared" si="0"/>
        <v>1106</v>
      </c>
      <c r="E50" s="11">
        <f t="shared" si="1"/>
        <v>0</v>
      </c>
      <c r="F50" s="11">
        <f t="shared" si="2"/>
        <v>-155946000</v>
      </c>
      <c r="G50" s="11"/>
    </row>
    <row r="51" spans="1:7">
      <c r="A51" s="11" t="s">
        <v>361</v>
      </c>
      <c r="B51" s="3">
        <v>-26746</v>
      </c>
      <c r="C51" s="11">
        <v>1</v>
      </c>
      <c r="D51" s="11">
        <f t="shared" si="0"/>
        <v>1106</v>
      </c>
      <c r="E51" s="11">
        <f t="shared" si="1"/>
        <v>0</v>
      </c>
      <c r="F51" s="11">
        <f t="shared" si="2"/>
        <v>-29581076</v>
      </c>
      <c r="G51" s="11"/>
    </row>
    <row r="52" spans="1:7">
      <c r="A52" s="11" t="s">
        <v>360</v>
      </c>
      <c r="B52" s="3">
        <v>-53300</v>
      </c>
      <c r="C52" s="11">
        <v>1</v>
      </c>
      <c r="D52" s="11">
        <f t="shared" si="0"/>
        <v>1105</v>
      </c>
      <c r="E52" s="11">
        <f t="shared" si="1"/>
        <v>0</v>
      </c>
      <c r="F52" s="11">
        <f t="shared" si="2"/>
        <v>-58896500</v>
      </c>
      <c r="G52" s="11"/>
    </row>
    <row r="53" spans="1:7">
      <c r="A53" s="11" t="s">
        <v>126</v>
      </c>
      <c r="B53" s="3">
        <v>1000000</v>
      </c>
      <c r="C53" s="11">
        <v>6</v>
      </c>
      <c r="D53" s="11">
        <f t="shared" si="0"/>
        <v>1104</v>
      </c>
      <c r="E53" s="11">
        <f t="shared" si="1"/>
        <v>1</v>
      </c>
      <c r="F53" s="11">
        <f t="shared" si="2"/>
        <v>1103000000</v>
      </c>
      <c r="G53" s="11"/>
    </row>
    <row r="54" spans="1:7">
      <c r="A54" s="11" t="s">
        <v>359</v>
      </c>
      <c r="B54" s="3">
        <v>-21000</v>
      </c>
      <c r="C54" s="11">
        <v>1</v>
      </c>
      <c r="D54" s="11">
        <f t="shared" si="0"/>
        <v>1098</v>
      </c>
      <c r="E54" s="11">
        <f t="shared" si="1"/>
        <v>0</v>
      </c>
      <c r="F54" s="11">
        <f t="shared" si="2"/>
        <v>-23058000</v>
      </c>
      <c r="G54" s="11"/>
    </row>
    <row r="55" spans="1:7">
      <c r="A55" s="11" t="s">
        <v>131</v>
      </c>
      <c r="B55" s="3">
        <v>-980500</v>
      </c>
      <c r="C55" s="11">
        <v>0</v>
      </c>
      <c r="D55" s="11">
        <f t="shared" si="0"/>
        <v>1097</v>
      </c>
      <c r="E55" s="11">
        <f t="shared" si="1"/>
        <v>0</v>
      </c>
      <c r="F55" s="11">
        <f t="shared" si="2"/>
        <v>-1075608500</v>
      </c>
      <c r="G55" s="11"/>
    </row>
    <row r="56" spans="1:7">
      <c r="A56" s="11" t="s">
        <v>131</v>
      </c>
      <c r="B56" s="3">
        <v>-45000</v>
      </c>
      <c r="C56" s="11">
        <v>13</v>
      </c>
      <c r="D56" s="11">
        <f t="shared" si="0"/>
        <v>1097</v>
      </c>
      <c r="E56" s="11">
        <f t="shared" si="1"/>
        <v>0</v>
      </c>
      <c r="F56" s="11">
        <f t="shared" si="2"/>
        <v>-49365000</v>
      </c>
      <c r="G56" s="11"/>
    </row>
    <row r="57" spans="1:7">
      <c r="A57" s="11" t="s">
        <v>358</v>
      </c>
      <c r="B57" s="3">
        <v>3005189</v>
      </c>
      <c r="C57" s="11">
        <v>0</v>
      </c>
      <c r="D57" s="11">
        <f t="shared" si="0"/>
        <v>1084</v>
      </c>
      <c r="E57" s="11">
        <f t="shared" si="1"/>
        <v>1</v>
      </c>
      <c r="F57" s="11">
        <f t="shared" si="2"/>
        <v>3254619687</v>
      </c>
      <c r="G57" s="11" t="s">
        <v>397</v>
      </c>
    </row>
    <row r="58" spans="1:7">
      <c r="A58" s="11" t="s">
        <v>358</v>
      </c>
      <c r="B58" s="3">
        <v>2000000</v>
      </c>
      <c r="C58" s="11">
        <v>1</v>
      </c>
      <c r="D58" s="11">
        <f t="shared" si="0"/>
        <v>1084</v>
      </c>
      <c r="E58" s="11">
        <f t="shared" si="1"/>
        <v>1</v>
      </c>
      <c r="F58" s="11">
        <f t="shared" si="2"/>
        <v>2166000000</v>
      </c>
      <c r="G58" s="11"/>
    </row>
    <row r="59" spans="1:7">
      <c r="A59" s="11" t="s">
        <v>143</v>
      </c>
      <c r="B59" s="3">
        <v>2000000</v>
      </c>
      <c r="C59" s="11">
        <v>0</v>
      </c>
      <c r="D59" s="11">
        <f t="shared" si="0"/>
        <v>1083</v>
      </c>
      <c r="E59" s="11">
        <f t="shared" si="1"/>
        <v>1</v>
      </c>
      <c r="F59" s="11">
        <f t="shared" si="2"/>
        <v>2164000000</v>
      </c>
      <c r="G59" s="11"/>
    </row>
    <row r="60" spans="1:7">
      <c r="A60" s="11" t="s">
        <v>143</v>
      </c>
      <c r="B60" s="3">
        <v>-7001500</v>
      </c>
      <c r="C60" s="11">
        <v>24</v>
      </c>
      <c r="D60" s="11">
        <f t="shared" si="0"/>
        <v>1083</v>
      </c>
      <c r="E60" s="11">
        <f t="shared" si="1"/>
        <v>0</v>
      </c>
      <c r="F60" s="11">
        <f t="shared" si="2"/>
        <v>-7582624500</v>
      </c>
      <c r="G60" s="11"/>
    </row>
    <row r="61" spans="1:7">
      <c r="A61" s="11" t="s">
        <v>357</v>
      </c>
      <c r="B61" s="3">
        <v>3000000</v>
      </c>
      <c r="C61" s="11">
        <v>1</v>
      </c>
      <c r="D61" s="11">
        <f t="shared" si="0"/>
        <v>1059</v>
      </c>
      <c r="E61" s="11">
        <f t="shared" si="1"/>
        <v>1</v>
      </c>
      <c r="F61" s="11">
        <f t="shared" si="2"/>
        <v>3174000000</v>
      </c>
      <c r="G61" s="11"/>
    </row>
    <row r="62" spans="1:7">
      <c r="A62" s="11" t="s">
        <v>356</v>
      </c>
      <c r="B62" s="3">
        <v>-27109</v>
      </c>
      <c r="C62" s="11">
        <v>0</v>
      </c>
      <c r="D62" s="11">
        <f t="shared" si="0"/>
        <v>1058</v>
      </c>
      <c r="E62" s="11">
        <f t="shared" si="1"/>
        <v>0</v>
      </c>
      <c r="F62" s="11">
        <f t="shared" si="2"/>
        <v>-28681322</v>
      </c>
      <c r="G62" s="11"/>
    </row>
    <row r="63" spans="1:7">
      <c r="A63" s="11" t="s">
        <v>356</v>
      </c>
      <c r="B63" s="3">
        <v>-32989</v>
      </c>
      <c r="C63" s="11">
        <v>0</v>
      </c>
      <c r="D63" s="11">
        <f t="shared" si="0"/>
        <v>1058</v>
      </c>
      <c r="E63" s="11">
        <f t="shared" si="1"/>
        <v>0</v>
      </c>
      <c r="F63" s="11">
        <f t="shared" si="2"/>
        <v>-34902362</v>
      </c>
      <c r="G63" s="11"/>
    </row>
    <row r="64" spans="1:7">
      <c r="A64" s="11" t="s">
        <v>356</v>
      </c>
      <c r="B64" s="3">
        <v>3000000</v>
      </c>
      <c r="C64" s="11">
        <v>0</v>
      </c>
      <c r="D64" s="11">
        <f t="shared" si="0"/>
        <v>1058</v>
      </c>
      <c r="E64" s="11">
        <f t="shared" si="1"/>
        <v>1</v>
      </c>
      <c r="F64" s="11">
        <f t="shared" si="2"/>
        <v>3171000000</v>
      </c>
      <c r="G64" s="11"/>
    </row>
    <row r="65" spans="1:7">
      <c r="A65" s="11" t="s">
        <v>356</v>
      </c>
      <c r="B65" s="3">
        <v>2970000</v>
      </c>
      <c r="C65" s="11">
        <v>0</v>
      </c>
      <c r="D65" s="11">
        <f t="shared" si="0"/>
        <v>1058</v>
      </c>
      <c r="E65" s="11">
        <f t="shared" si="1"/>
        <v>1</v>
      </c>
      <c r="F65" s="11">
        <f t="shared" si="2"/>
        <v>3139290000</v>
      </c>
      <c r="G65" s="11"/>
    </row>
    <row r="66" spans="1:7">
      <c r="A66" s="11" t="s">
        <v>356</v>
      </c>
      <c r="B66" s="3">
        <v>1000000</v>
      </c>
      <c r="C66" s="11">
        <v>0</v>
      </c>
      <c r="D66" s="11">
        <f t="shared" ref="D66:D129" si="3">D67+C66</f>
        <v>1058</v>
      </c>
      <c r="E66" s="11">
        <f t="shared" si="1"/>
        <v>1</v>
      </c>
      <c r="F66" s="11">
        <f t="shared" si="2"/>
        <v>1057000000</v>
      </c>
      <c r="G66" s="11"/>
    </row>
    <row r="67" spans="1:7">
      <c r="A67" s="11" t="s">
        <v>356</v>
      </c>
      <c r="B67" s="3">
        <v>30000</v>
      </c>
      <c r="C67" s="11">
        <v>1</v>
      </c>
      <c r="D67" s="11">
        <f t="shared" si="3"/>
        <v>1058</v>
      </c>
      <c r="E67" s="11">
        <f t="shared" ref="E67:E130" si="4">IF(B67&gt;0,1,0)</f>
        <v>1</v>
      </c>
      <c r="F67" s="11">
        <f t="shared" ref="F67:F249" si="5">B67*(D67-E67)</f>
        <v>31710000</v>
      </c>
      <c r="G67" s="11"/>
    </row>
    <row r="68" spans="1:7">
      <c r="A68" s="11" t="s">
        <v>355</v>
      </c>
      <c r="B68" s="3">
        <v>30000000</v>
      </c>
      <c r="C68" s="11">
        <v>1</v>
      </c>
      <c r="D68" s="11">
        <f t="shared" si="3"/>
        <v>1057</v>
      </c>
      <c r="E68" s="11">
        <f t="shared" si="4"/>
        <v>1</v>
      </c>
      <c r="F68" s="11">
        <f t="shared" si="5"/>
        <v>31680000000</v>
      </c>
      <c r="G68" s="11"/>
    </row>
    <row r="69" spans="1:7">
      <c r="A69" s="11" t="s">
        <v>196</v>
      </c>
      <c r="B69" s="3">
        <v>-200000</v>
      </c>
      <c r="C69" s="11">
        <v>0</v>
      </c>
      <c r="D69" s="11">
        <f t="shared" si="3"/>
        <v>1056</v>
      </c>
      <c r="E69" s="11">
        <f t="shared" si="4"/>
        <v>0</v>
      </c>
      <c r="F69" s="11">
        <f t="shared" si="5"/>
        <v>-211200000</v>
      </c>
      <c r="G69" s="11"/>
    </row>
    <row r="70" spans="1:7">
      <c r="A70" s="11" t="s">
        <v>354</v>
      </c>
      <c r="B70" s="3">
        <v>1400000</v>
      </c>
      <c r="C70" s="11">
        <v>0</v>
      </c>
      <c r="D70" s="11">
        <f t="shared" si="3"/>
        <v>1056</v>
      </c>
      <c r="E70" s="11">
        <f t="shared" si="4"/>
        <v>1</v>
      </c>
      <c r="F70" s="11">
        <f t="shared" si="5"/>
        <v>1477000000</v>
      </c>
      <c r="G70" s="11"/>
    </row>
    <row r="71" spans="1:7">
      <c r="A71" s="11" t="s">
        <v>354</v>
      </c>
      <c r="B71" s="3">
        <v>2600000</v>
      </c>
      <c r="C71" s="11">
        <v>0</v>
      </c>
      <c r="D71" s="11">
        <f t="shared" si="3"/>
        <v>1056</v>
      </c>
      <c r="E71" s="11">
        <f t="shared" si="4"/>
        <v>1</v>
      </c>
      <c r="F71" s="11">
        <f t="shared" si="5"/>
        <v>2743000000</v>
      </c>
      <c r="G71" s="11"/>
    </row>
    <row r="72" spans="1:7">
      <c r="A72" s="11" t="s">
        <v>354</v>
      </c>
      <c r="B72" s="3">
        <v>-1000000</v>
      </c>
      <c r="C72" s="11">
        <v>2</v>
      </c>
      <c r="D72" s="11">
        <f t="shared" si="3"/>
        <v>1056</v>
      </c>
      <c r="E72" s="11">
        <f t="shared" si="4"/>
        <v>0</v>
      </c>
      <c r="F72" s="11">
        <f t="shared" si="5"/>
        <v>-1056000000</v>
      </c>
      <c r="G72" s="11"/>
    </row>
    <row r="73" spans="1:7">
      <c r="A73" s="11" t="s">
        <v>353</v>
      </c>
      <c r="B73" s="3">
        <v>15000000</v>
      </c>
      <c r="C73" s="11">
        <v>5</v>
      </c>
      <c r="D73" s="11">
        <f t="shared" si="3"/>
        <v>1054</v>
      </c>
      <c r="E73" s="11">
        <f t="shared" si="4"/>
        <v>1</v>
      </c>
      <c r="F73" s="11">
        <f t="shared" si="5"/>
        <v>15795000000</v>
      </c>
      <c r="G73" s="11"/>
    </row>
    <row r="74" spans="1:7">
      <c r="A74" s="23" t="s">
        <v>277</v>
      </c>
      <c r="B74" s="3">
        <v>-15004200</v>
      </c>
      <c r="C74" s="11">
        <v>2</v>
      </c>
      <c r="D74" s="11">
        <f t="shared" si="3"/>
        <v>1049</v>
      </c>
      <c r="E74" s="11">
        <f t="shared" si="4"/>
        <v>0</v>
      </c>
      <c r="F74" s="11">
        <f t="shared" si="5"/>
        <v>-15739405800</v>
      </c>
      <c r="G74" s="11"/>
    </row>
    <row r="75" spans="1:7">
      <c r="A75" s="11" t="s">
        <v>275</v>
      </c>
      <c r="B75" s="3">
        <v>-3000000</v>
      </c>
      <c r="C75" s="11">
        <v>0</v>
      </c>
      <c r="D75" s="11">
        <f t="shared" si="3"/>
        <v>1047</v>
      </c>
      <c r="E75" s="11">
        <f t="shared" si="4"/>
        <v>0</v>
      </c>
      <c r="F75" s="11">
        <f t="shared" si="5"/>
        <v>-3141000000</v>
      </c>
      <c r="G75" s="11"/>
    </row>
    <row r="76" spans="1:7">
      <c r="A76" s="11" t="s">
        <v>275</v>
      </c>
      <c r="B76" s="3">
        <v>-200000</v>
      </c>
      <c r="C76" s="11">
        <v>0</v>
      </c>
      <c r="D76" s="11">
        <f t="shared" si="3"/>
        <v>1047</v>
      </c>
      <c r="E76" s="11">
        <f t="shared" si="4"/>
        <v>0</v>
      </c>
      <c r="F76" s="11">
        <f t="shared" si="5"/>
        <v>-209400000</v>
      </c>
      <c r="G76" s="11"/>
    </row>
    <row r="77" spans="1:7">
      <c r="A77" s="23" t="s">
        <v>275</v>
      </c>
      <c r="B77" s="3">
        <v>-12003000</v>
      </c>
      <c r="C77" s="11">
        <v>4</v>
      </c>
      <c r="D77" s="11">
        <f t="shared" si="3"/>
        <v>1047</v>
      </c>
      <c r="E77" s="11">
        <f t="shared" si="4"/>
        <v>0</v>
      </c>
      <c r="F77" s="11">
        <f t="shared" si="5"/>
        <v>-12567141000</v>
      </c>
      <c r="G77" s="11"/>
    </row>
    <row r="78" spans="1:7">
      <c r="A78" s="23" t="s">
        <v>228</v>
      </c>
      <c r="B78" s="3">
        <v>-3000900</v>
      </c>
      <c r="C78" s="11">
        <v>5</v>
      </c>
      <c r="D78" s="11">
        <f t="shared" si="3"/>
        <v>1043</v>
      </c>
      <c r="E78" s="11">
        <f t="shared" si="4"/>
        <v>0</v>
      </c>
      <c r="F78" s="11">
        <f t="shared" si="5"/>
        <v>-3129938700</v>
      </c>
      <c r="G78" s="11"/>
    </row>
    <row r="79" spans="1:7">
      <c r="A79" s="11" t="s">
        <v>352</v>
      </c>
      <c r="B79" s="3">
        <v>23000000</v>
      </c>
      <c r="C79" s="11">
        <v>5</v>
      </c>
      <c r="D79" s="11">
        <f t="shared" si="3"/>
        <v>1038</v>
      </c>
      <c r="E79" s="11">
        <f t="shared" si="4"/>
        <v>1</v>
      </c>
      <c r="F79" s="11">
        <f t="shared" si="5"/>
        <v>23851000000</v>
      </c>
      <c r="G79" s="11"/>
    </row>
    <row r="80" spans="1:7">
      <c r="A80" s="23" t="s">
        <v>237</v>
      </c>
      <c r="B80" s="3">
        <v>-600500</v>
      </c>
      <c r="C80" s="11">
        <v>0</v>
      </c>
      <c r="D80" s="11">
        <f t="shared" si="3"/>
        <v>1033</v>
      </c>
      <c r="E80" s="11">
        <f t="shared" si="4"/>
        <v>0</v>
      </c>
      <c r="F80" s="11">
        <f t="shared" si="5"/>
        <v>-620316500</v>
      </c>
      <c r="G80" s="11"/>
    </row>
    <row r="81" spans="1:10">
      <c r="A81" s="20" t="s">
        <v>237</v>
      </c>
      <c r="B81" s="3">
        <v>-200000</v>
      </c>
      <c r="C81" s="11">
        <v>1</v>
      </c>
      <c r="D81" s="11">
        <f t="shared" si="3"/>
        <v>1033</v>
      </c>
      <c r="E81" s="11">
        <f t="shared" si="4"/>
        <v>0</v>
      </c>
      <c r="F81" s="11">
        <f t="shared" si="5"/>
        <v>-206600000</v>
      </c>
      <c r="G81" s="11"/>
    </row>
    <row r="82" spans="1:10">
      <c r="A82" s="11" t="s">
        <v>241</v>
      </c>
      <c r="B82" s="3">
        <v>283221</v>
      </c>
      <c r="C82" s="11">
        <v>0</v>
      </c>
      <c r="D82" s="11">
        <f t="shared" si="3"/>
        <v>1032</v>
      </c>
      <c r="E82" s="11">
        <f t="shared" si="4"/>
        <v>1</v>
      </c>
      <c r="F82" s="11">
        <f t="shared" si="5"/>
        <v>292000851</v>
      </c>
      <c r="G82" s="11" t="s">
        <v>242</v>
      </c>
    </row>
    <row r="83" spans="1:10">
      <c r="A83" s="11" t="s">
        <v>241</v>
      </c>
      <c r="B83" s="3">
        <v>-200000</v>
      </c>
      <c r="C83" s="11">
        <v>2</v>
      </c>
      <c r="D83" s="11">
        <f t="shared" si="3"/>
        <v>1032</v>
      </c>
      <c r="E83" s="11">
        <f t="shared" si="4"/>
        <v>0</v>
      </c>
      <c r="F83" s="11">
        <f t="shared" si="5"/>
        <v>-206400000</v>
      </c>
      <c r="G83" s="11"/>
    </row>
    <row r="84" spans="1:10">
      <c r="A84" s="11" t="s">
        <v>351</v>
      </c>
      <c r="B84" s="3">
        <v>2000000</v>
      </c>
      <c r="C84" s="11">
        <v>3</v>
      </c>
      <c r="D84" s="11">
        <f t="shared" si="3"/>
        <v>1030</v>
      </c>
      <c r="E84" s="11">
        <f t="shared" si="4"/>
        <v>1</v>
      </c>
      <c r="F84" s="11">
        <f t="shared" si="5"/>
        <v>2058000000</v>
      </c>
      <c r="G84" s="11"/>
    </row>
    <row r="85" spans="1:10">
      <c r="A85" s="11" t="s">
        <v>245</v>
      </c>
      <c r="B85" s="3">
        <v>-200000</v>
      </c>
      <c r="C85" s="11">
        <v>6</v>
      </c>
      <c r="D85" s="11">
        <f t="shared" si="3"/>
        <v>1027</v>
      </c>
      <c r="E85" s="11">
        <f t="shared" si="4"/>
        <v>0</v>
      </c>
      <c r="F85" s="11">
        <f t="shared" si="5"/>
        <v>-205400000</v>
      </c>
      <c r="G85" s="11"/>
    </row>
    <row r="86" spans="1:10">
      <c r="A86" s="11" t="s">
        <v>350</v>
      </c>
      <c r="B86" s="3">
        <v>-200000</v>
      </c>
      <c r="C86" s="11">
        <v>2</v>
      </c>
      <c r="D86" s="11">
        <f t="shared" si="3"/>
        <v>1021</v>
      </c>
      <c r="E86" s="11">
        <f t="shared" si="4"/>
        <v>0</v>
      </c>
      <c r="F86" s="11">
        <f t="shared" si="5"/>
        <v>-204200000</v>
      </c>
      <c r="G86" s="11"/>
    </row>
    <row r="87" spans="1:10">
      <c r="A87" s="11" t="s">
        <v>250</v>
      </c>
      <c r="B87" s="3">
        <v>-1325000</v>
      </c>
      <c r="C87" s="11">
        <v>15</v>
      </c>
      <c r="D87" s="11">
        <f t="shared" si="3"/>
        <v>1019</v>
      </c>
      <c r="E87" s="11">
        <f t="shared" si="4"/>
        <v>0</v>
      </c>
      <c r="F87" s="11">
        <f t="shared" si="5"/>
        <v>-1350175000</v>
      </c>
      <c r="G87" s="11"/>
    </row>
    <row r="88" spans="1:10">
      <c r="A88" s="11" t="s">
        <v>349</v>
      </c>
      <c r="B88" s="3">
        <v>-500000</v>
      </c>
      <c r="C88" s="11">
        <v>0</v>
      </c>
      <c r="D88" s="11">
        <f t="shared" si="3"/>
        <v>1004</v>
      </c>
      <c r="E88" s="11">
        <f t="shared" si="4"/>
        <v>0</v>
      </c>
      <c r="F88" s="11">
        <f t="shared" si="5"/>
        <v>-502000000</v>
      </c>
      <c r="G88" s="11"/>
    </row>
    <row r="89" spans="1:10">
      <c r="A89" s="11" t="s">
        <v>348</v>
      </c>
      <c r="B89" s="3">
        <v>-120000</v>
      </c>
      <c r="C89" s="11">
        <v>2</v>
      </c>
      <c r="D89" s="11">
        <f t="shared" si="3"/>
        <v>1004</v>
      </c>
      <c r="E89" s="11">
        <f t="shared" si="4"/>
        <v>0</v>
      </c>
      <c r="F89" s="11">
        <f t="shared" si="5"/>
        <v>-120480000</v>
      </c>
      <c r="G89" s="11"/>
    </row>
    <row r="90" spans="1:10">
      <c r="A90" s="11" t="s">
        <v>262</v>
      </c>
      <c r="B90" s="3">
        <v>428205</v>
      </c>
      <c r="C90" s="11">
        <v>3</v>
      </c>
      <c r="D90" s="11">
        <f t="shared" si="3"/>
        <v>1002</v>
      </c>
      <c r="E90" s="11">
        <f t="shared" si="4"/>
        <v>1</v>
      </c>
      <c r="F90" s="11">
        <f t="shared" si="5"/>
        <v>428633205</v>
      </c>
      <c r="G90" s="11" t="s">
        <v>264</v>
      </c>
    </row>
    <row r="91" spans="1:10">
      <c r="A91" s="23" t="s">
        <v>263</v>
      </c>
      <c r="B91" s="3">
        <v>-3002000</v>
      </c>
      <c r="C91" s="11">
        <v>2</v>
      </c>
      <c r="D91" s="11">
        <f t="shared" si="3"/>
        <v>999</v>
      </c>
      <c r="E91" s="11">
        <f t="shared" si="4"/>
        <v>0</v>
      </c>
      <c r="F91" s="11">
        <f t="shared" si="5"/>
        <v>-2998998000</v>
      </c>
      <c r="G91" s="11" t="s">
        <v>337</v>
      </c>
    </row>
    <row r="92" spans="1:10">
      <c r="A92" s="23" t="s">
        <v>336</v>
      </c>
      <c r="B92" s="3">
        <v>-205000</v>
      </c>
      <c r="C92" s="11">
        <v>0</v>
      </c>
      <c r="D92" s="11">
        <f t="shared" si="3"/>
        <v>997</v>
      </c>
      <c r="E92" s="11">
        <f t="shared" si="4"/>
        <v>0</v>
      </c>
      <c r="F92" s="11">
        <f t="shared" si="5"/>
        <v>-204385000</v>
      </c>
      <c r="G92" s="11" t="s">
        <v>338</v>
      </c>
    </row>
    <row r="93" spans="1:10">
      <c r="A93" s="11" t="s">
        <v>334</v>
      </c>
      <c r="B93" s="3">
        <v>-350500</v>
      </c>
      <c r="C93" s="11">
        <v>11</v>
      </c>
      <c r="D93" s="11">
        <f t="shared" si="3"/>
        <v>997</v>
      </c>
      <c r="E93" s="11">
        <f t="shared" si="4"/>
        <v>0</v>
      </c>
      <c r="F93" s="11">
        <f t="shared" si="5"/>
        <v>-349448500</v>
      </c>
      <c r="G93" s="11" t="s">
        <v>335</v>
      </c>
    </row>
    <row r="94" spans="1:10">
      <c r="A94" s="11" t="s">
        <v>332</v>
      </c>
      <c r="B94" s="3">
        <v>1000000</v>
      </c>
      <c r="C94" s="11">
        <v>5</v>
      </c>
      <c r="D94" s="11">
        <f t="shared" si="3"/>
        <v>986</v>
      </c>
      <c r="E94" s="11">
        <f t="shared" si="4"/>
        <v>1</v>
      </c>
      <c r="F94" s="11">
        <f t="shared" si="5"/>
        <v>985000000</v>
      </c>
      <c r="G94" s="11" t="s">
        <v>333</v>
      </c>
    </row>
    <row r="95" spans="1:10">
      <c r="A95" s="11" t="s">
        <v>343</v>
      </c>
      <c r="B95" s="3">
        <v>9000000</v>
      </c>
      <c r="C95" s="11">
        <v>2</v>
      </c>
      <c r="D95" s="11">
        <f t="shared" si="3"/>
        <v>981</v>
      </c>
      <c r="E95" s="11">
        <f t="shared" si="4"/>
        <v>1</v>
      </c>
      <c r="F95" s="11">
        <f t="shared" si="5"/>
        <v>8820000000</v>
      </c>
      <c r="G95" s="11" t="s">
        <v>345</v>
      </c>
      <c r="J95" s="26"/>
    </row>
    <row r="96" spans="1:10">
      <c r="A96" s="11" t="s">
        <v>346</v>
      </c>
      <c r="B96" s="3">
        <v>-26000000</v>
      </c>
      <c r="C96" s="11">
        <v>0</v>
      </c>
      <c r="D96" s="11">
        <f t="shared" si="3"/>
        <v>979</v>
      </c>
      <c r="E96" s="11">
        <f t="shared" si="4"/>
        <v>0</v>
      </c>
      <c r="F96" s="11">
        <f t="shared" si="5"/>
        <v>-25454000000</v>
      </c>
      <c r="G96" s="11" t="s">
        <v>347</v>
      </c>
    </row>
    <row r="97" spans="1:9">
      <c r="A97" s="11" t="s">
        <v>346</v>
      </c>
      <c r="B97" s="3">
        <v>-26000000</v>
      </c>
      <c r="C97" s="11">
        <v>0</v>
      </c>
      <c r="D97" s="11">
        <f t="shared" si="3"/>
        <v>979</v>
      </c>
      <c r="E97" s="11">
        <f t="shared" si="4"/>
        <v>0</v>
      </c>
      <c r="F97" s="11">
        <f t="shared" si="5"/>
        <v>-25454000000</v>
      </c>
      <c r="G97" s="11"/>
    </row>
    <row r="98" spans="1:9">
      <c r="A98" s="11" t="s">
        <v>346</v>
      </c>
      <c r="B98" s="3">
        <v>26000000</v>
      </c>
      <c r="C98" s="11">
        <v>0</v>
      </c>
      <c r="D98" s="11">
        <f t="shared" si="3"/>
        <v>979</v>
      </c>
      <c r="E98" s="11">
        <f t="shared" si="4"/>
        <v>1</v>
      </c>
      <c r="F98" s="11">
        <f t="shared" si="5"/>
        <v>25428000000</v>
      </c>
      <c r="G98" s="11"/>
    </row>
    <row r="99" spans="1:9">
      <c r="A99" s="11" t="s">
        <v>346</v>
      </c>
      <c r="B99" s="3">
        <v>-200000</v>
      </c>
      <c r="C99" s="11">
        <v>2</v>
      </c>
      <c r="D99" s="11">
        <f t="shared" si="3"/>
        <v>979</v>
      </c>
      <c r="E99" s="11">
        <f t="shared" si="4"/>
        <v>0</v>
      </c>
      <c r="F99" s="11">
        <f t="shared" si="5"/>
        <v>-195800000</v>
      </c>
      <c r="G99" s="11"/>
      <c r="I99" t="s">
        <v>25</v>
      </c>
    </row>
    <row r="100" spans="1:9">
      <c r="A100" s="11" t="s">
        <v>398</v>
      </c>
      <c r="B100" s="3">
        <v>29200000</v>
      </c>
      <c r="C100" s="11">
        <v>5</v>
      </c>
      <c r="D100" s="11">
        <f t="shared" si="3"/>
        <v>977</v>
      </c>
      <c r="E100" s="11">
        <f t="shared" si="4"/>
        <v>1</v>
      </c>
      <c r="F100" s="11">
        <f t="shared" si="5"/>
        <v>28499200000</v>
      </c>
      <c r="G100" s="11"/>
    </row>
    <row r="101" spans="1:9">
      <c r="A101" s="11" t="s">
        <v>399</v>
      </c>
      <c r="B101" s="3">
        <v>399945</v>
      </c>
      <c r="C101" s="11">
        <v>1</v>
      </c>
      <c r="D101" s="11">
        <f t="shared" si="3"/>
        <v>972</v>
      </c>
      <c r="E101" s="11">
        <f t="shared" si="4"/>
        <v>1</v>
      </c>
      <c r="F101" s="11">
        <f t="shared" si="5"/>
        <v>388346595</v>
      </c>
      <c r="G101" s="11" t="s">
        <v>400</v>
      </c>
    </row>
    <row r="102" spans="1:9">
      <c r="A102" s="11" t="s">
        <v>401</v>
      </c>
      <c r="B102" s="3">
        <v>2000000</v>
      </c>
      <c r="C102" s="11">
        <v>1</v>
      </c>
      <c r="D102" s="11">
        <f t="shared" si="3"/>
        <v>971</v>
      </c>
      <c r="E102" s="11">
        <f t="shared" si="4"/>
        <v>1</v>
      </c>
      <c r="F102" s="11">
        <f t="shared" si="5"/>
        <v>1940000000</v>
      </c>
      <c r="G102" s="11" t="s">
        <v>402</v>
      </c>
    </row>
    <row r="103" spans="1:9">
      <c r="A103" s="11" t="s">
        <v>409</v>
      </c>
      <c r="B103" s="3">
        <v>7500000</v>
      </c>
      <c r="C103" s="11">
        <v>0</v>
      </c>
      <c r="D103" s="11">
        <f t="shared" si="3"/>
        <v>970</v>
      </c>
      <c r="E103" s="11">
        <f t="shared" si="4"/>
        <v>1</v>
      </c>
      <c r="F103" s="11">
        <f t="shared" si="5"/>
        <v>7267500000</v>
      </c>
      <c r="G103" s="11" t="s">
        <v>410</v>
      </c>
    </row>
    <row r="104" spans="1:9">
      <c r="A104" s="11" t="s">
        <v>409</v>
      </c>
      <c r="B104" s="3">
        <v>-66000000</v>
      </c>
      <c r="C104" s="11">
        <v>0</v>
      </c>
      <c r="D104" s="11">
        <f t="shared" si="3"/>
        <v>970</v>
      </c>
      <c r="E104" s="11">
        <f t="shared" si="4"/>
        <v>0</v>
      </c>
      <c r="F104" s="11">
        <f t="shared" si="5"/>
        <v>-64020000000</v>
      </c>
      <c r="G104" s="11" t="s">
        <v>424</v>
      </c>
    </row>
    <row r="105" spans="1:9">
      <c r="A105" s="11" t="s">
        <v>409</v>
      </c>
      <c r="B105" s="3">
        <v>-145000</v>
      </c>
      <c r="C105" s="11">
        <v>2</v>
      </c>
      <c r="D105" s="11">
        <f t="shared" si="3"/>
        <v>970</v>
      </c>
      <c r="E105" s="11">
        <f t="shared" si="4"/>
        <v>0</v>
      </c>
      <c r="F105" s="11">
        <f t="shared" si="5"/>
        <v>-140650000</v>
      </c>
      <c r="G105" s="11" t="s">
        <v>425</v>
      </c>
    </row>
    <row r="106" spans="1:9">
      <c r="A106" s="11" t="s">
        <v>421</v>
      </c>
      <c r="B106" s="3">
        <v>6000000</v>
      </c>
      <c r="C106" s="11">
        <v>2</v>
      </c>
      <c r="D106" s="11">
        <f t="shared" si="3"/>
        <v>968</v>
      </c>
      <c r="E106" s="11">
        <f t="shared" si="4"/>
        <v>1</v>
      </c>
      <c r="F106" s="11">
        <f t="shared" si="5"/>
        <v>5802000000</v>
      </c>
      <c r="G106" s="11" t="s">
        <v>426</v>
      </c>
    </row>
    <row r="107" spans="1:9">
      <c r="A107" s="11" t="s">
        <v>434</v>
      </c>
      <c r="B107" s="3">
        <v>-6005900</v>
      </c>
      <c r="C107" s="11">
        <v>3</v>
      </c>
      <c r="D107" s="11">
        <f t="shared" si="3"/>
        <v>966</v>
      </c>
      <c r="E107" s="11">
        <f t="shared" si="4"/>
        <v>0</v>
      </c>
      <c r="F107" s="11">
        <f t="shared" si="5"/>
        <v>-5801699400</v>
      </c>
      <c r="G107" s="11" t="s">
        <v>436</v>
      </c>
    </row>
    <row r="108" spans="1:9">
      <c r="A108" s="11" t="s">
        <v>439</v>
      </c>
      <c r="B108" s="3">
        <v>6000000</v>
      </c>
      <c r="C108" s="11">
        <v>12</v>
      </c>
      <c r="D108" s="11">
        <f t="shared" si="3"/>
        <v>963</v>
      </c>
      <c r="E108" s="11">
        <f t="shared" si="4"/>
        <v>1</v>
      </c>
      <c r="F108" s="11">
        <f t="shared" si="5"/>
        <v>5772000000</v>
      </c>
      <c r="G108" s="11" t="s">
        <v>444</v>
      </c>
    </row>
    <row r="109" spans="1:9">
      <c r="A109" s="11" t="s">
        <v>458</v>
      </c>
      <c r="B109" s="3">
        <v>-120000</v>
      </c>
      <c r="C109" s="11">
        <v>1</v>
      </c>
      <c r="D109" s="11">
        <f t="shared" si="3"/>
        <v>951</v>
      </c>
      <c r="E109" s="11">
        <f t="shared" si="4"/>
        <v>0</v>
      </c>
      <c r="F109" s="11">
        <f t="shared" si="5"/>
        <v>-114120000</v>
      </c>
      <c r="G109" s="11" t="s">
        <v>459</v>
      </c>
    </row>
    <row r="110" spans="1:9">
      <c r="A110" s="11" t="s">
        <v>460</v>
      </c>
      <c r="B110" s="3">
        <v>4000000</v>
      </c>
      <c r="C110" s="11">
        <v>1</v>
      </c>
      <c r="D110" s="11">
        <f t="shared" si="3"/>
        <v>950</v>
      </c>
      <c r="E110" s="11">
        <f t="shared" si="4"/>
        <v>1</v>
      </c>
      <c r="F110" s="11">
        <f t="shared" si="5"/>
        <v>3796000000</v>
      </c>
      <c r="G110" s="11" t="s">
        <v>461</v>
      </c>
    </row>
    <row r="111" spans="1:9">
      <c r="A111" s="11" t="s">
        <v>465</v>
      </c>
      <c r="B111" s="3">
        <v>2800000</v>
      </c>
      <c r="C111" s="11">
        <v>4</v>
      </c>
      <c r="D111" s="11">
        <f t="shared" si="3"/>
        <v>949</v>
      </c>
      <c r="E111" s="11">
        <f t="shared" si="4"/>
        <v>1</v>
      </c>
      <c r="F111" s="11">
        <f t="shared" si="5"/>
        <v>2654400000</v>
      </c>
      <c r="G111" s="11" t="s">
        <v>466</v>
      </c>
    </row>
    <row r="112" spans="1:9">
      <c r="A112" s="11" t="s">
        <v>470</v>
      </c>
      <c r="B112" s="3">
        <v>-200000</v>
      </c>
      <c r="C112" s="11">
        <v>1</v>
      </c>
      <c r="D112" s="11">
        <f t="shared" si="3"/>
        <v>945</v>
      </c>
      <c r="E112" s="11">
        <f t="shared" si="4"/>
        <v>0</v>
      </c>
      <c r="F112" s="11">
        <f t="shared" si="5"/>
        <v>-189000000</v>
      </c>
      <c r="G112" s="11" t="s">
        <v>472</v>
      </c>
    </row>
    <row r="113" spans="1:10">
      <c r="A113" s="11" t="s">
        <v>471</v>
      </c>
      <c r="B113" s="3">
        <v>72310</v>
      </c>
      <c r="C113" s="11">
        <v>17</v>
      </c>
      <c r="D113" s="11">
        <f t="shared" si="3"/>
        <v>944</v>
      </c>
      <c r="E113" s="11">
        <f t="shared" si="4"/>
        <v>1</v>
      </c>
      <c r="F113" s="11">
        <f t="shared" si="5"/>
        <v>68188330</v>
      </c>
      <c r="G113" s="11" t="s">
        <v>498</v>
      </c>
    </row>
    <row r="114" spans="1:10">
      <c r="A114" s="11" t="s">
        <v>494</v>
      </c>
      <c r="B114" s="3">
        <v>-200000</v>
      </c>
      <c r="C114" s="11">
        <v>1</v>
      </c>
      <c r="D114" s="11">
        <f t="shared" si="3"/>
        <v>927</v>
      </c>
      <c r="E114" s="11">
        <f t="shared" si="4"/>
        <v>0</v>
      </c>
      <c r="F114" s="11">
        <f t="shared" si="5"/>
        <v>-185400000</v>
      </c>
      <c r="G114" s="11" t="s">
        <v>459</v>
      </c>
      <c r="J114" t="s">
        <v>25</v>
      </c>
    </row>
    <row r="115" spans="1:10">
      <c r="A115" s="23" t="s">
        <v>495</v>
      </c>
      <c r="B115" s="35">
        <v>-11000000</v>
      </c>
      <c r="C115" s="23">
        <v>0</v>
      </c>
      <c r="D115" s="11">
        <f t="shared" si="3"/>
        <v>926</v>
      </c>
      <c r="E115" s="11">
        <f t="shared" si="4"/>
        <v>0</v>
      </c>
      <c r="F115" s="23">
        <f t="shared" si="5"/>
        <v>-10186000000</v>
      </c>
      <c r="G115" s="23" t="s">
        <v>499</v>
      </c>
    </row>
    <row r="116" spans="1:10">
      <c r="A116" s="11" t="s">
        <v>495</v>
      </c>
      <c r="B116" s="3">
        <v>-200000</v>
      </c>
      <c r="C116" s="11">
        <v>2</v>
      </c>
      <c r="D116" s="11">
        <f t="shared" si="3"/>
        <v>926</v>
      </c>
      <c r="E116" s="11">
        <f t="shared" si="4"/>
        <v>0</v>
      </c>
      <c r="F116" s="11">
        <f t="shared" si="5"/>
        <v>-185200000</v>
      </c>
      <c r="G116" s="11" t="s">
        <v>459</v>
      </c>
      <c r="I116" t="s">
        <v>25</v>
      </c>
    </row>
    <row r="117" spans="1:10">
      <c r="A117" s="11" t="s">
        <v>500</v>
      </c>
      <c r="B117" s="3">
        <v>-450500</v>
      </c>
      <c r="C117" s="11">
        <v>0</v>
      </c>
      <c r="D117" s="11">
        <f t="shared" si="3"/>
        <v>924</v>
      </c>
      <c r="E117" s="11">
        <f t="shared" si="4"/>
        <v>0</v>
      </c>
      <c r="F117" s="11">
        <f t="shared" si="5"/>
        <v>-416262000</v>
      </c>
      <c r="G117" s="11" t="s">
        <v>501</v>
      </c>
    </row>
    <row r="118" spans="1:10">
      <c r="A118" s="11" t="s">
        <v>500</v>
      </c>
      <c r="B118" s="3">
        <v>-200000</v>
      </c>
      <c r="C118" s="11">
        <v>6</v>
      </c>
      <c r="D118" s="11">
        <f t="shared" si="3"/>
        <v>924</v>
      </c>
      <c r="E118" s="11">
        <f t="shared" si="4"/>
        <v>0</v>
      </c>
      <c r="F118" s="11">
        <f t="shared" si="5"/>
        <v>-184800000</v>
      </c>
      <c r="G118" s="11" t="s">
        <v>502</v>
      </c>
      <c r="J118" t="s">
        <v>25</v>
      </c>
    </row>
    <row r="119" spans="1:10">
      <c r="A119" s="11" t="s">
        <v>504</v>
      </c>
      <c r="B119" s="3">
        <v>-154550</v>
      </c>
      <c r="C119" s="11">
        <v>0</v>
      </c>
      <c r="D119" s="11">
        <f t="shared" si="3"/>
        <v>918</v>
      </c>
      <c r="E119" s="11">
        <f t="shared" si="4"/>
        <v>0</v>
      </c>
      <c r="F119" s="11">
        <f t="shared" si="5"/>
        <v>-141876900</v>
      </c>
      <c r="G119" s="11" t="s">
        <v>505</v>
      </c>
    </row>
    <row r="120" spans="1:10">
      <c r="A120" s="11" t="s">
        <v>504</v>
      </c>
      <c r="B120" s="3">
        <v>-320</v>
      </c>
      <c r="C120" s="11">
        <v>1</v>
      </c>
      <c r="D120" s="11">
        <f t="shared" si="3"/>
        <v>918</v>
      </c>
      <c r="E120" s="11">
        <f t="shared" si="4"/>
        <v>0</v>
      </c>
      <c r="F120" s="11">
        <f t="shared" si="5"/>
        <v>-293760</v>
      </c>
      <c r="G120" s="11" t="s">
        <v>506</v>
      </c>
    </row>
    <row r="121" spans="1:10">
      <c r="A121" s="11" t="s">
        <v>507</v>
      </c>
      <c r="B121" s="3">
        <v>-432000</v>
      </c>
      <c r="C121" s="11">
        <v>6</v>
      </c>
      <c r="D121" s="11">
        <f t="shared" si="3"/>
        <v>917</v>
      </c>
      <c r="E121" s="11">
        <f t="shared" si="4"/>
        <v>0</v>
      </c>
      <c r="F121" s="11">
        <f t="shared" si="5"/>
        <v>-396144000</v>
      </c>
      <c r="G121" s="11" t="s">
        <v>508</v>
      </c>
    </row>
    <row r="122" spans="1:10">
      <c r="A122" s="11" t="s">
        <v>509</v>
      </c>
      <c r="B122" s="3">
        <v>74043</v>
      </c>
      <c r="C122" s="11">
        <v>21</v>
      </c>
      <c r="D122" s="11">
        <f t="shared" si="3"/>
        <v>911</v>
      </c>
      <c r="E122" s="11">
        <f t="shared" si="4"/>
        <v>1</v>
      </c>
      <c r="F122" s="11">
        <f t="shared" si="5"/>
        <v>67379130</v>
      </c>
      <c r="G122" s="11" t="s">
        <v>510</v>
      </c>
    </row>
    <row r="123" spans="1:10">
      <c r="A123" s="11" t="s">
        <v>532</v>
      </c>
      <c r="B123" s="3">
        <v>-52000</v>
      </c>
      <c r="C123" s="11">
        <v>41</v>
      </c>
      <c r="D123" s="11">
        <f t="shared" si="3"/>
        <v>890</v>
      </c>
      <c r="E123" s="11">
        <f t="shared" si="4"/>
        <v>0</v>
      </c>
      <c r="F123" s="11">
        <f t="shared" si="5"/>
        <v>-46280000</v>
      </c>
      <c r="G123" s="11" t="s">
        <v>534</v>
      </c>
    </row>
    <row r="124" spans="1:10">
      <c r="A124" s="11" t="s">
        <v>584</v>
      </c>
      <c r="B124" s="3">
        <v>1187</v>
      </c>
      <c r="C124" s="11">
        <v>1</v>
      </c>
      <c r="D124" s="11">
        <f t="shared" si="3"/>
        <v>849</v>
      </c>
      <c r="E124" s="11">
        <f t="shared" si="4"/>
        <v>1</v>
      </c>
      <c r="F124" s="11">
        <f t="shared" si="5"/>
        <v>1006576</v>
      </c>
      <c r="G124" s="11" t="s">
        <v>585</v>
      </c>
    </row>
    <row r="125" spans="1:10">
      <c r="A125" s="11" t="s">
        <v>582</v>
      </c>
      <c r="B125" s="3">
        <v>2400000</v>
      </c>
      <c r="C125" s="11">
        <v>2</v>
      </c>
      <c r="D125" s="11">
        <f t="shared" si="3"/>
        <v>848</v>
      </c>
      <c r="E125" s="11">
        <f t="shared" si="4"/>
        <v>1</v>
      </c>
      <c r="F125" s="11">
        <f t="shared" si="5"/>
        <v>2032800000</v>
      </c>
      <c r="G125" s="11" t="s">
        <v>583</v>
      </c>
    </row>
    <row r="126" spans="1:10">
      <c r="A126" s="11" t="s">
        <v>591</v>
      </c>
      <c r="B126" s="3">
        <v>1342800</v>
      </c>
      <c r="C126" s="11">
        <v>0</v>
      </c>
      <c r="D126" s="11">
        <f t="shared" si="3"/>
        <v>846</v>
      </c>
      <c r="E126" s="11">
        <f t="shared" si="4"/>
        <v>1</v>
      </c>
      <c r="F126" s="11">
        <f t="shared" si="5"/>
        <v>1134666000</v>
      </c>
      <c r="G126" s="11" t="s">
        <v>592</v>
      </c>
    </row>
    <row r="127" spans="1:10">
      <c r="A127" s="11" t="s">
        <v>591</v>
      </c>
      <c r="B127" s="3">
        <v>1342800</v>
      </c>
      <c r="C127" s="11">
        <v>12</v>
      </c>
      <c r="D127" s="11">
        <f t="shared" si="3"/>
        <v>846</v>
      </c>
      <c r="E127" s="11">
        <f t="shared" si="4"/>
        <v>1</v>
      </c>
      <c r="F127" s="11">
        <f t="shared" si="5"/>
        <v>1134666000</v>
      </c>
      <c r="G127" s="11" t="s">
        <v>593</v>
      </c>
    </row>
    <row r="128" spans="1:10">
      <c r="A128" s="11" t="s">
        <v>600</v>
      </c>
      <c r="B128" s="3">
        <v>-200000</v>
      </c>
      <c r="C128" s="11">
        <v>2</v>
      </c>
      <c r="D128" s="11">
        <f t="shared" si="3"/>
        <v>834</v>
      </c>
      <c r="E128" s="11">
        <f t="shared" si="4"/>
        <v>0</v>
      </c>
      <c r="F128" s="11">
        <f t="shared" si="5"/>
        <v>-166800000</v>
      </c>
      <c r="G128" s="11" t="s">
        <v>158</v>
      </c>
    </row>
    <row r="129" spans="1:11">
      <c r="A129" s="11" t="s">
        <v>601</v>
      </c>
      <c r="B129" s="3">
        <v>-15618</v>
      </c>
      <c r="C129" s="11">
        <v>1</v>
      </c>
      <c r="D129" s="11">
        <f t="shared" si="3"/>
        <v>832</v>
      </c>
      <c r="E129" s="11">
        <f t="shared" si="4"/>
        <v>0</v>
      </c>
      <c r="F129" s="11">
        <f>B129*(D129-E129)</f>
        <v>-12994176</v>
      </c>
      <c r="G129" s="11" t="s">
        <v>602</v>
      </c>
      <c r="K129" t="s">
        <v>25</v>
      </c>
    </row>
    <row r="130" spans="1:11">
      <c r="A130" s="11" t="s">
        <v>603</v>
      </c>
      <c r="B130" s="3">
        <v>-200000</v>
      </c>
      <c r="C130" s="11">
        <v>1</v>
      </c>
      <c r="D130" s="11">
        <f t="shared" ref="D130:D185" si="6">D131+C130</f>
        <v>831</v>
      </c>
      <c r="E130" s="11">
        <f t="shared" si="4"/>
        <v>0</v>
      </c>
      <c r="F130" s="11">
        <f t="shared" si="5"/>
        <v>-166200000</v>
      </c>
      <c r="G130" s="11" t="s">
        <v>502</v>
      </c>
    </row>
    <row r="131" spans="1:11">
      <c r="A131" s="11" t="s">
        <v>605</v>
      </c>
      <c r="B131" s="3">
        <v>-200000</v>
      </c>
      <c r="C131" s="11">
        <v>1</v>
      </c>
      <c r="D131" s="11">
        <f t="shared" si="6"/>
        <v>830</v>
      </c>
      <c r="E131" s="11">
        <f t="shared" ref="E131:E248" si="7">IF(B131&gt;0,1,0)</f>
        <v>0</v>
      </c>
      <c r="F131" s="11">
        <f t="shared" si="5"/>
        <v>-166000000</v>
      </c>
      <c r="G131" s="11" t="s">
        <v>606</v>
      </c>
    </row>
    <row r="132" spans="1:11">
      <c r="A132" s="11" t="s">
        <v>607</v>
      </c>
      <c r="B132" s="3">
        <v>-390000</v>
      </c>
      <c r="C132" s="11">
        <v>0</v>
      </c>
      <c r="D132" s="11">
        <f t="shared" si="6"/>
        <v>829</v>
      </c>
      <c r="E132" s="11">
        <f t="shared" si="7"/>
        <v>0</v>
      </c>
      <c r="F132" s="11">
        <f t="shared" si="5"/>
        <v>-323310000</v>
      </c>
      <c r="G132" s="11" t="s">
        <v>608</v>
      </c>
    </row>
    <row r="133" spans="1:11">
      <c r="A133" s="11" t="s">
        <v>607</v>
      </c>
      <c r="B133" s="3">
        <v>-24500</v>
      </c>
      <c r="C133" s="11">
        <v>1</v>
      </c>
      <c r="D133" s="11">
        <f t="shared" si="6"/>
        <v>829</v>
      </c>
      <c r="E133" s="11">
        <f t="shared" si="7"/>
        <v>0</v>
      </c>
      <c r="F133" s="11">
        <f t="shared" si="5"/>
        <v>-20310500</v>
      </c>
      <c r="G133" s="11" t="s">
        <v>609</v>
      </c>
    </row>
    <row r="134" spans="1:11">
      <c r="A134" s="11" t="s">
        <v>610</v>
      </c>
      <c r="B134" s="3">
        <v>-95000</v>
      </c>
      <c r="C134" s="11">
        <v>4</v>
      </c>
      <c r="D134" s="11">
        <f t="shared" si="6"/>
        <v>828</v>
      </c>
      <c r="E134" s="11">
        <f t="shared" si="7"/>
        <v>0</v>
      </c>
      <c r="F134" s="11">
        <f t="shared" si="5"/>
        <v>-78660000</v>
      </c>
      <c r="G134" s="11" t="s">
        <v>459</v>
      </c>
    </row>
    <row r="135" spans="1:11">
      <c r="A135" s="11" t="s">
        <v>612</v>
      </c>
      <c r="B135" s="3">
        <v>-200000</v>
      </c>
      <c r="C135" s="11">
        <v>2</v>
      </c>
      <c r="D135" s="11">
        <f t="shared" si="6"/>
        <v>824</v>
      </c>
      <c r="E135" s="11">
        <f t="shared" si="7"/>
        <v>0</v>
      </c>
      <c r="F135" s="11">
        <f t="shared" si="5"/>
        <v>-164800000</v>
      </c>
      <c r="G135" s="11" t="s">
        <v>613</v>
      </c>
    </row>
    <row r="136" spans="1:11">
      <c r="A136" s="11" t="s">
        <v>615</v>
      </c>
      <c r="B136" s="3">
        <v>50000000</v>
      </c>
      <c r="C136" s="11">
        <v>1</v>
      </c>
      <c r="D136" s="11">
        <f t="shared" si="6"/>
        <v>822</v>
      </c>
      <c r="E136" s="11">
        <f t="shared" si="7"/>
        <v>1</v>
      </c>
      <c r="F136" s="11">
        <f t="shared" si="5"/>
        <v>41050000000</v>
      </c>
      <c r="G136" s="11" t="s">
        <v>616</v>
      </c>
    </row>
    <row r="137" spans="1:11">
      <c r="A137" s="11" t="s">
        <v>621</v>
      </c>
      <c r="B137" s="3">
        <v>12000000</v>
      </c>
      <c r="C137" s="11">
        <v>2</v>
      </c>
      <c r="D137" s="11">
        <f t="shared" si="6"/>
        <v>821</v>
      </c>
      <c r="E137" s="11">
        <f t="shared" si="7"/>
        <v>1</v>
      </c>
      <c r="F137" s="11">
        <f t="shared" si="5"/>
        <v>9840000000</v>
      </c>
      <c r="G137" s="11" t="s">
        <v>616</v>
      </c>
    </row>
    <row r="138" spans="1:11">
      <c r="A138" s="11" t="s">
        <v>623</v>
      </c>
      <c r="B138" s="3">
        <v>2000000</v>
      </c>
      <c r="C138" s="11">
        <v>1</v>
      </c>
      <c r="D138" s="11">
        <f t="shared" si="6"/>
        <v>819</v>
      </c>
      <c r="E138" s="11">
        <f t="shared" si="7"/>
        <v>1</v>
      </c>
      <c r="F138" s="11">
        <f t="shared" si="5"/>
        <v>1636000000</v>
      </c>
      <c r="G138" s="11" t="s">
        <v>625</v>
      </c>
    </row>
    <row r="139" spans="1:11">
      <c r="A139" s="11" t="s">
        <v>627</v>
      </c>
      <c r="B139" s="3">
        <v>87538</v>
      </c>
      <c r="C139" s="11">
        <v>13</v>
      </c>
      <c r="D139" s="11">
        <f t="shared" si="6"/>
        <v>818</v>
      </c>
      <c r="E139" s="11">
        <f t="shared" si="7"/>
        <v>1</v>
      </c>
      <c r="F139" s="11">
        <f t="shared" si="5"/>
        <v>71518546</v>
      </c>
      <c r="G139" s="11" t="s">
        <v>375</v>
      </c>
    </row>
    <row r="140" spans="1:11">
      <c r="A140" s="11" t="s">
        <v>649</v>
      </c>
      <c r="B140" s="3">
        <v>-3000900</v>
      </c>
      <c r="C140" s="11">
        <v>1</v>
      </c>
      <c r="D140" s="11">
        <f t="shared" si="6"/>
        <v>805</v>
      </c>
      <c r="E140" s="11">
        <f t="shared" si="7"/>
        <v>0</v>
      </c>
      <c r="F140" s="11">
        <f t="shared" si="5"/>
        <v>-2415724500</v>
      </c>
      <c r="G140" s="11" t="s">
        <v>650</v>
      </c>
    </row>
    <row r="141" spans="1:11">
      <c r="A141" s="11" t="s">
        <v>667</v>
      </c>
      <c r="B141" s="3">
        <v>-3000900</v>
      </c>
      <c r="C141" s="11">
        <v>17</v>
      </c>
      <c r="D141" s="11">
        <f t="shared" si="6"/>
        <v>804</v>
      </c>
      <c r="E141" s="11">
        <f t="shared" si="7"/>
        <v>0</v>
      </c>
      <c r="F141" s="11">
        <f t="shared" si="5"/>
        <v>-2412723600</v>
      </c>
      <c r="G141" s="11" t="s">
        <v>650</v>
      </c>
      <c r="K141" t="s">
        <v>25</v>
      </c>
    </row>
    <row r="142" spans="1:11">
      <c r="A142" s="11" t="s">
        <v>630</v>
      </c>
      <c r="B142" s="3">
        <v>602025</v>
      </c>
      <c r="C142" s="11">
        <v>0</v>
      </c>
      <c r="D142" s="11">
        <f t="shared" si="6"/>
        <v>787</v>
      </c>
      <c r="E142" s="11">
        <f t="shared" si="7"/>
        <v>1</v>
      </c>
      <c r="F142" s="11">
        <f t="shared" si="5"/>
        <v>473191650</v>
      </c>
      <c r="G142" s="11" t="s">
        <v>669</v>
      </c>
    </row>
    <row r="143" spans="1:11">
      <c r="A143" s="11" t="s">
        <v>630</v>
      </c>
      <c r="B143" s="3">
        <v>-46000000</v>
      </c>
      <c r="C143" s="11">
        <v>31</v>
      </c>
      <c r="D143" s="11">
        <f t="shared" si="6"/>
        <v>787</v>
      </c>
      <c r="E143" s="11">
        <f t="shared" si="7"/>
        <v>0</v>
      </c>
      <c r="F143" s="11">
        <f t="shared" si="5"/>
        <v>-36202000000</v>
      </c>
      <c r="G143" s="11" t="s">
        <v>672</v>
      </c>
    </row>
    <row r="144" spans="1:11">
      <c r="A144" s="11" t="s">
        <v>631</v>
      </c>
      <c r="B144" s="3">
        <v>154107</v>
      </c>
      <c r="C144" s="11">
        <v>1</v>
      </c>
      <c r="D144" s="11">
        <f t="shared" si="6"/>
        <v>756</v>
      </c>
      <c r="E144" s="11">
        <f t="shared" si="7"/>
        <v>1</v>
      </c>
      <c r="F144" s="11">
        <f t="shared" si="5"/>
        <v>116350785</v>
      </c>
      <c r="G144" s="11" t="s">
        <v>695</v>
      </c>
    </row>
    <row r="145" spans="1:11">
      <c r="A145" s="11" t="s">
        <v>701</v>
      </c>
      <c r="B145" s="3">
        <v>3000000</v>
      </c>
      <c r="C145" s="11">
        <v>3</v>
      </c>
      <c r="D145" s="11">
        <f t="shared" si="6"/>
        <v>755</v>
      </c>
      <c r="E145" s="11">
        <f t="shared" si="7"/>
        <v>1</v>
      </c>
      <c r="F145" s="11">
        <f t="shared" si="5"/>
        <v>2262000000</v>
      </c>
      <c r="G145" s="11" t="s">
        <v>702</v>
      </c>
    </row>
    <row r="146" spans="1:11">
      <c r="A146" s="11" t="s">
        <v>703</v>
      </c>
      <c r="B146" s="3">
        <v>-200000</v>
      </c>
      <c r="C146" s="11">
        <v>5</v>
      </c>
      <c r="D146" s="11">
        <f t="shared" si="6"/>
        <v>752</v>
      </c>
      <c r="E146" s="11">
        <f t="shared" si="7"/>
        <v>0</v>
      </c>
      <c r="F146" s="11">
        <f t="shared" si="5"/>
        <v>-150400000</v>
      </c>
      <c r="G146" s="11" t="s">
        <v>158</v>
      </c>
    </row>
    <row r="147" spans="1:11">
      <c r="A147" s="11" t="s">
        <v>704</v>
      </c>
      <c r="B147" s="3">
        <v>-200000</v>
      </c>
      <c r="C147" s="11">
        <v>1</v>
      </c>
      <c r="D147" s="11">
        <f t="shared" si="6"/>
        <v>747</v>
      </c>
      <c r="E147" s="11">
        <f t="shared" si="7"/>
        <v>0</v>
      </c>
      <c r="F147" s="11">
        <f t="shared" si="5"/>
        <v>-149400000</v>
      </c>
      <c r="G147" s="11" t="s">
        <v>158</v>
      </c>
      <c r="K147" t="s">
        <v>25</v>
      </c>
    </row>
    <row r="148" spans="1:11">
      <c r="A148" s="11" t="s">
        <v>705</v>
      </c>
      <c r="B148" s="3">
        <v>-200000</v>
      </c>
      <c r="C148" s="11">
        <v>4</v>
      </c>
      <c r="D148" s="11">
        <f t="shared" si="6"/>
        <v>746</v>
      </c>
      <c r="E148" s="11">
        <f t="shared" si="7"/>
        <v>0</v>
      </c>
      <c r="F148" s="11">
        <f t="shared" si="5"/>
        <v>-149200000</v>
      </c>
      <c r="G148" s="11" t="s">
        <v>158</v>
      </c>
    </row>
    <row r="149" spans="1:11">
      <c r="A149" s="11" t="s">
        <v>634</v>
      </c>
      <c r="B149" s="3">
        <v>-200000</v>
      </c>
      <c r="C149" s="11">
        <v>1</v>
      </c>
      <c r="D149" s="11">
        <f t="shared" si="6"/>
        <v>742</v>
      </c>
      <c r="E149" s="11">
        <f t="shared" si="7"/>
        <v>0</v>
      </c>
      <c r="F149" s="11">
        <f t="shared" si="5"/>
        <v>-148400000</v>
      </c>
      <c r="G149" s="11" t="s">
        <v>158</v>
      </c>
    </row>
    <row r="150" spans="1:11">
      <c r="A150" s="11" t="s">
        <v>711</v>
      </c>
      <c r="B150" s="3">
        <v>24073400</v>
      </c>
      <c r="C150" s="11">
        <v>2</v>
      </c>
      <c r="D150" s="11">
        <f t="shared" si="6"/>
        <v>741</v>
      </c>
      <c r="E150" s="11">
        <f t="shared" si="7"/>
        <v>1</v>
      </c>
      <c r="F150" s="11">
        <f t="shared" si="5"/>
        <v>17814316000</v>
      </c>
      <c r="G150" s="11" t="s">
        <v>712</v>
      </c>
    </row>
    <row r="151" spans="1:11">
      <c r="A151" s="11" t="s">
        <v>720</v>
      </c>
      <c r="B151" s="3">
        <v>-200000</v>
      </c>
      <c r="C151" s="11">
        <v>6</v>
      </c>
      <c r="D151" s="11">
        <f t="shared" si="6"/>
        <v>739</v>
      </c>
      <c r="E151" s="11">
        <f t="shared" si="7"/>
        <v>0</v>
      </c>
      <c r="F151" s="11">
        <f t="shared" si="5"/>
        <v>-147800000</v>
      </c>
      <c r="G151" s="11" t="s">
        <v>158</v>
      </c>
    </row>
    <row r="152" spans="1:11">
      <c r="A152" s="11" t="s">
        <v>721</v>
      </c>
      <c r="B152" s="3">
        <v>-30000000</v>
      </c>
      <c r="C152" s="11">
        <v>1</v>
      </c>
      <c r="D152" s="11">
        <f t="shared" si="6"/>
        <v>733</v>
      </c>
      <c r="E152" s="11">
        <f t="shared" si="7"/>
        <v>0</v>
      </c>
      <c r="F152" s="11">
        <f t="shared" si="5"/>
        <v>-21990000000</v>
      </c>
      <c r="G152" s="11" t="s">
        <v>722</v>
      </c>
    </row>
    <row r="153" spans="1:11">
      <c r="A153" s="11" t="s">
        <v>729</v>
      </c>
      <c r="B153" s="3">
        <v>-52000</v>
      </c>
      <c r="C153" s="11">
        <v>0</v>
      </c>
      <c r="D153" s="11">
        <f t="shared" si="6"/>
        <v>732</v>
      </c>
      <c r="E153" s="11">
        <f t="shared" si="7"/>
        <v>0</v>
      </c>
      <c r="F153" s="11">
        <f t="shared" si="5"/>
        <v>-38064000</v>
      </c>
      <c r="G153" s="11" t="s">
        <v>730</v>
      </c>
    </row>
    <row r="154" spans="1:11">
      <c r="A154" s="11" t="s">
        <v>729</v>
      </c>
      <c r="B154" s="3">
        <v>-136000</v>
      </c>
      <c r="C154" s="11">
        <v>5</v>
      </c>
      <c r="D154" s="11">
        <f t="shared" si="6"/>
        <v>732</v>
      </c>
      <c r="E154" s="11">
        <f t="shared" si="7"/>
        <v>0</v>
      </c>
      <c r="F154" s="11">
        <f t="shared" si="5"/>
        <v>-99552000</v>
      </c>
      <c r="G154" s="11" t="s">
        <v>731</v>
      </c>
    </row>
    <row r="155" spans="1:11">
      <c r="A155" s="11" t="s">
        <v>733</v>
      </c>
      <c r="B155" s="3">
        <v>3000000</v>
      </c>
      <c r="C155" s="11">
        <v>1</v>
      </c>
      <c r="D155" s="11">
        <f t="shared" si="6"/>
        <v>727</v>
      </c>
      <c r="E155" s="11">
        <f t="shared" si="7"/>
        <v>1</v>
      </c>
      <c r="F155" s="11">
        <f t="shared" si="5"/>
        <v>2178000000</v>
      </c>
      <c r="G155" s="11" t="s">
        <v>734</v>
      </c>
    </row>
    <row r="156" spans="1:11">
      <c r="A156" s="11" t="s">
        <v>632</v>
      </c>
      <c r="B156" s="3">
        <v>189103</v>
      </c>
      <c r="C156" s="11">
        <v>0</v>
      </c>
      <c r="D156" s="11">
        <f t="shared" si="6"/>
        <v>726</v>
      </c>
      <c r="E156" s="11">
        <f t="shared" si="7"/>
        <v>1</v>
      </c>
      <c r="F156" s="11">
        <f t="shared" si="5"/>
        <v>137099675</v>
      </c>
      <c r="G156" s="11" t="s">
        <v>735</v>
      </c>
    </row>
    <row r="157" spans="1:11">
      <c r="A157" s="11" t="s">
        <v>632</v>
      </c>
      <c r="B157" s="3">
        <v>24227700</v>
      </c>
      <c r="C157" s="11">
        <v>8</v>
      </c>
      <c r="D157" s="11">
        <f t="shared" si="6"/>
        <v>726</v>
      </c>
      <c r="E157" s="11">
        <f t="shared" si="7"/>
        <v>1</v>
      </c>
      <c r="F157" s="11">
        <f t="shared" si="5"/>
        <v>17565082500</v>
      </c>
      <c r="G157" s="11" t="s">
        <v>736</v>
      </c>
    </row>
    <row r="158" spans="1:11">
      <c r="A158" s="11" t="s">
        <v>754</v>
      </c>
      <c r="B158" s="3">
        <v>24295200</v>
      </c>
      <c r="C158" s="11">
        <v>0</v>
      </c>
      <c r="D158" s="11">
        <f t="shared" si="6"/>
        <v>718</v>
      </c>
      <c r="E158" s="11">
        <f t="shared" si="7"/>
        <v>1</v>
      </c>
      <c r="F158" s="11">
        <f t="shared" si="5"/>
        <v>17419658400</v>
      </c>
      <c r="G158" s="11" t="s">
        <v>750</v>
      </c>
    </row>
    <row r="159" spans="1:11">
      <c r="A159" s="11" t="s">
        <v>754</v>
      </c>
      <c r="B159" s="3">
        <v>-201000</v>
      </c>
      <c r="C159" s="11">
        <v>5</v>
      </c>
      <c r="D159" s="11">
        <f t="shared" si="6"/>
        <v>718</v>
      </c>
      <c r="E159" s="11">
        <f t="shared" si="7"/>
        <v>0</v>
      </c>
      <c r="F159" s="11">
        <f t="shared" si="5"/>
        <v>-144318000</v>
      </c>
      <c r="G159" s="11" t="s">
        <v>757</v>
      </c>
    </row>
    <row r="160" spans="1:11">
      <c r="A160" s="11" t="s">
        <v>758</v>
      </c>
      <c r="B160" s="3">
        <v>-200000</v>
      </c>
      <c r="C160" s="11">
        <v>3</v>
      </c>
      <c r="D160" s="11">
        <f t="shared" si="6"/>
        <v>713</v>
      </c>
      <c r="E160" s="11">
        <f t="shared" si="7"/>
        <v>0</v>
      </c>
      <c r="F160" s="11">
        <f t="shared" si="5"/>
        <v>-142600000</v>
      </c>
      <c r="G160" s="11" t="s">
        <v>759</v>
      </c>
    </row>
    <row r="161" spans="1:7">
      <c r="A161" s="11" t="s">
        <v>765</v>
      </c>
      <c r="B161" s="3">
        <v>-200000</v>
      </c>
      <c r="C161" s="11">
        <v>4</v>
      </c>
      <c r="D161" s="11">
        <f t="shared" si="6"/>
        <v>710</v>
      </c>
      <c r="E161" s="11">
        <f t="shared" si="7"/>
        <v>0</v>
      </c>
      <c r="F161" s="11">
        <f t="shared" si="5"/>
        <v>-142000000</v>
      </c>
      <c r="G161" s="11" t="s">
        <v>759</v>
      </c>
    </row>
    <row r="162" spans="1:7">
      <c r="A162" s="11" t="s">
        <v>767</v>
      </c>
      <c r="B162" s="3">
        <v>-200000</v>
      </c>
      <c r="C162" s="11">
        <v>3</v>
      </c>
      <c r="D162" s="11">
        <f t="shared" si="6"/>
        <v>706</v>
      </c>
      <c r="E162" s="11">
        <f t="shared" si="7"/>
        <v>0</v>
      </c>
      <c r="F162" s="11">
        <f t="shared" si="5"/>
        <v>-141200000</v>
      </c>
      <c r="G162" s="11" t="s">
        <v>759</v>
      </c>
    </row>
    <row r="163" spans="1:7">
      <c r="A163" s="11" t="s">
        <v>768</v>
      </c>
      <c r="B163" s="3">
        <v>-200000</v>
      </c>
      <c r="C163" s="11">
        <v>7</v>
      </c>
      <c r="D163" s="11">
        <f t="shared" si="6"/>
        <v>703</v>
      </c>
      <c r="E163" s="11">
        <f t="shared" si="7"/>
        <v>0</v>
      </c>
      <c r="F163" s="11">
        <f t="shared" si="5"/>
        <v>-140600000</v>
      </c>
      <c r="G163" s="11" t="s">
        <v>759</v>
      </c>
    </row>
    <row r="164" spans="1:7">
      <c r="A164" s="11" t="s">
        <v>633</v>
      </c>
      <c r="B164" s="3">
        <v>457674</v>
      </c>
      <c r="C164" s="11">
        <v>3</v>
      </c>
      <c r="D164" s="11">
        <f t="shared" si="6"/>
        <v>696</v>
      </c>
      <c r="E164" s="11">
        <f t="shared" si="7"/>
        <v>1</v>
      </c>
      <c r="F164" s="11">
        <f t="shared" si="5"/>
        <v>318083430</v>
      </c>
      <c r="G164" s="11" t="s">
        <v>772</v>
      </c>
    </row>
    <row r="165" spans="1:7">
      <c r="A165" s="11" t="s">
        <v>777</v>
      </c>
      <c r="B165" s="3">
        <v>2700000</v>
      </c>
      <c r="C165" s="11">
        <v>0</v>
      </c>
      <c r="D165" s="11">
        <f t="shared" si="6"/>
        <v>693</v>
      </c>
      <c r="E165" s="11">
        <f t="shared" si="7"/>
        <v>1</v>
      </c>
      <c r="F165" s="11">
        <f t="shared" si="5"/>
        <v>1868400000</v>
      </c>
      <c r="G165" s="11" t="s">
        <v>778</v>
      </c>
    </row>
    <row r="166" spans="1:7">
      <c r="A166" s="11" t="s">
        <v>777</v>
      </c>
      <c r="B166" s="3">
        <v>2500000</v>
      </c>
      <c r="C166" s="11">
        <v>7</v>
      </c>
      <c r="D166" s="11">
        <f t="shared" si="6"/>
        <v>693</v>
      </c>
      <c r="E166" s="11">
        <f t="shared" si="7"/>
        <v>1</v>
      </c>
      <c r="F166" s="11">
        <f t="shared" si="5"/>
        <v>1730000000</v>
      </c>
      <c r="G166" s="11" t="s">
        <v>779</v>
      </c>
    </row>
    <row r="167" spans="1:7">
      <c r="A167" s="11" t="s">
        <v>791</v>
      </c>
      <c r="B167" s="3">
        <v>-200000</v>
      </c>
      <c r="C167" s="11">
        <v>2</v>
      </c>
      <c r="D167" s="11">
        <f t="shared" si="6"/>
        <v>686</v>
      </c>
      <c r="E167" s="11">
        <f t="shared" si="7"/>
        <v>0</v>
      </c>
      <c r="F167" s="11">
        <f t="shared" si="5"/>
        <v>-137200000</v>
      </c>
      <c r="G167" s="11" t="s">
        <v>502</v>
      </c>
    </row>
    <row r="168" spans="1:7">
      <c r="A168" s="11" t="s">
        <v>793</v>
      </c>
      <c r="B168" s="3">
        <v>-200000</v>
      </c>
      <c r="C168" s="11">
        <v>6</v>
      </c>
      <c r="D168" s="11">
        <f t="shared" si="6"/>
        <v>684</v>
      </c>
      <c r="E168" s="11">
        <f t="shared" si="7"/>
        <v>0</v>
      </c>
      <c r="F168" s="11">
        <f t="shared" si="5"/>
        <v>-136800000</v>
      </c>
      <c r="G168" s="11" t="s">
        <v>502</v>
      </c>
    </row>
    <row r="169" spans="1:7">
      <c r="A169" s="11" t="s">
        <v>795</v>
      </c>
      <c r="B169" s="3">
        <v>-200000</v>
      </c>
      <c r="C169" s="11">
        <v>3</v>
      </c>
      <c r="D169" s="11">
        <f t="shared" si="6"/>
        <v>678</v>
      </c>
      <c r="E169" s="11">
        <f t="shared" si="7"/>
        <v>0</v>
      </c>
      <c r="F169" s="11">
        <f t="shared" si="5"/>
        <v>-135600000</v>
      </c>
      <c r="G169" s="11" t="s">
        <v>502</v>
      </c>
    </row>
    <row r="170" spans="1:7">
      <c r="A170" s="11" t="s">
        <v>800</v>
      </c>
      <c r="B170" s="3">
        <v>-200000</v>
      </c>
      <c r="C170" s="11">
        <v>0</v>
      </c>
      <c r="D170" s="11">
        <f t="shared" si="6"/>
        <v>675</v>
      </c>
      <c r="E170" s="11">
        <f t="shared" si="7"/>
        <v>0</v>
      </c>
      <c r="F170" s="11">
        <f t="shared" si="5"/>
        <v>-135000000</v>
      </c>
      <c r="G170" s="11" t="s">
        <v>502</v>
      </c>
    </row>
    <row r="171" spans="1:7">
      <c r="A171" s="11" t="s">
        <v>800</v>
      </c>
      <c r="B171" s="3">
        <v>3000000</v>
      </c>
      <c r="C171" s="11">
        <v>3</v>
      </c>
      <c r="D171" s="11">
        <f t="shared" si="6"/>
        <v>675</v>
      </c>
      <c r="E171" s="11">
        <f t="shared" si="7"/>
        <v>1</v>
      </c>
      <c r="F171" s="11">
        <f t="shared" si="5"/>
        <v>2022000000</v>
      </c>
      <c r="G171" s="11" t="s">
        <v>801</v>
      </c>
    </row>
    <row r="172" spans="1:7">
      <c r="A172" s="11" t="s">
        <v>802</v>
      </c>
      <c r="B172" s="3">
        <v>-200000</v>
      </c>
      <c r="C172" s="11">
        <v>1</v>
      </c>
      <c r="D172" s="11">
        <f t="shared" si="6"/>
        <v>672</v>
      </c>
      <c r="E172" s="11">
        <f t="shared" si="7"/>
        <v>0</v>
      </c>
      <c r="F172" s="11">
        <f t="shared" si="5"/>
        <v>-134400000</v>
      </c>
      <c r="G172" s="11" t="s">
        <v>158</v>
      </c>
    </row>
    <row r="173" spans="1:7">
      <c r="A173" s="11" t="s">
        <v>802</v>
      </c>
      <c r="B173" s="3">
        <v>3000000</v>
      </c>
      <c r="C173" s="11">
        <v>1</v>
      </c>
      <c r="D173" s="11">
        <f t="shared" si="6"/>
        <v>671</v>
      </c>
      <c r="E173" s="11">
        <f t="shared" si="7"/>
        <v>1</v>
      </c>
      <c r="F173" s="11">
        <f t="shared" si="5"/>
        <v>2010000000</v>
      </c>
      <c r="G173" s="11" t="s">
        <v>804</v>
      </c>
    </row>
    <row r="174" spans="1:7">
      <c r="A174" s="11" t="s">
        <v>803</v>
      </c>
      <c r="B174" s="3">
        <v>2000000</v>
      </c>
      <c r="C174" s="11">
        <v>1</v>
      </c>
      <c r="D174" s="11">
        <f t="shared" si="6"/>
        <v>670</v>
      </c>
      <c r="E174" s="11">
        <f t="shared" si="7"/>
        <v>1</v>
      </c>
      <c r="F174" s="11">
        <f t="shared" si="5"/>
        <v>1338000000</v>
      </c>
      <c r="G174" s="11" t="s">
        <v>805</v>
      </c>
    </row>
    <row r="175" spans="1:7">
      <c r="A175" s="11" t="s">
        <v>803</v>
      </c>
      <c r="B175" s="3">
        <v>1300000</v>
      </c>
      <c r="C175" s="11">
        <v>2</v>
      </c>
      <c r="D175" s="11">
        <f t="shared" si="6"/>
        <v>669</v>
      </c>
      <c r="E175" s="11">
        <f t="shared" si="7"/>
        <v>1</v>
      </c>
      <c r="F175" s="11">
        <f t="shared" si="5"/>
        <v>868400000</v>
      </c>
      <c r="G175" s="11" t="s">
        <v>806</v>
      </c>
    </row>
    <row r="176" spans="1:7">
      <c r="A176" s="11" t="s">
        <v>807</v>
      </c>
      <c r="B176" s="3">
        <v>-200000</v>
      </c>
      <c r="C176" s="11">
        <v>0</v>
      </c>
      <c r="D176" s="11">
        <f t="shared" si="6"/>
        <v>667</v>
      </c>
      <c r="E176" s="11">
        <f t="shared" si="7"/>
        <v>0</v>
      </c>
      <c r="F176" s="11">
        <f t="shared" si="5"/>
        <v>-133400000</v>
      </c>
      <c r="G176" s="11" t="s">
        <v>759</v>
      </c>
    </row>
    <row r="177" spans="1:7">
      <c r="A177" s="11" t="s">
        <v>807</v>
      </c>
      <c r="B177" s="3">
        <v>1700000</v>
      </c>
      <c r="C177" s="11">
        <v>1</v>
      </c>
      <c r="D177" s="11">
        <f t="shared" si="6"/>
        <v>667</v>
      </c>
      <c r="E177" s="11">
        <f t="shared" si="7"/>
        <v>1</v>
      </c>
      <c r="F177" s="11">
        <f t="shared" si="5"/>
        <v>1132200000</v>
      </c>
      <c r="G177" s="11" t="s">
        <v>808</v>
      </c>
    </row>
    <row r="178" spans="1:7">
      <c r="A178" s="11" t="s">
        <v>809</v>
      </c>
      <c r="B178" s="3">
        <v>-200000</v>
      </c>
      <c r="C178" s="11">
        <v>1</v>
      </c>
      <c r="D178" s="11">
        <f t="shared" si="6"/>
        <v>666</v>
      </c>
      <c r="E178" s="11">
        <f t="shared" si="7"/>
        <v>0</v>
      </c>
      <c r="F178" s="11">
        <f t="shared" si="5"/>
        <v>-133200000</v>
      </c>
      <c r="G178" s="11" t="s">
        <v>502</v>
      </c>
    </row>
    <row r="179" spans="1:7">
      <c r="A179" s="11" t="s">
        <v>811</v>
      </c>
      <c r="B179" s="3">
        <v>571492</v>
      </c>
      <c r="C179" s="11">
        <v>3</v>
      </c>
      <c r="D179" s="11">
        <f t="shared" si="6"/>
        <v>665</v>
      </c>
      <c r="E179" s="11">
        <f t="shared" si="7"/>
        <v>1</v>
      </c>
      <c r="F179" s="11">
        <f t="shared" si="5"/>
        <v>379470688</v>
      </c>
      <c r="G179" s="11" t="s">
        <v>242</v>
      </c>
    </row>
    <row r="180" spans="1:7">
      <c r="A180" s="11" t="s">
        <v>816</v>
      </c>
      <c r="B180" s="3">
        <v>3000000</v>
      </c>
      <c r="C180" s="11">
        <v>7</v>
      </c>
      <c r="D180" s="11">
        <f t="shared" si="6"/>
        <v>662</v>
      </c>
      <c r="E180" s="11">
        <f t="shared" si="7"/>
        <v>1</v>
      </c>
      <c r="F180" s="11">
        <f t="shared" si="5"/>
        <v>1983000000</v>
      </c>
      <c r="G180" s="11" t="s">
        <v>819</v>
      </c>
    </row>
    <row r="181" spans="1:7">
      <c r="A181" s="11" t="s">
        <v>828</v>
      </c>
      <c r="B181" s="3">
        <v>2000000</v>
      </c>
      <c r="C181" s="11">
        <v>8</v>
      </c>
      <c r="D181" s="11">
        <f t="shared" si="6"/>
        <v>655</v>
      </c>
      <c r="E181" s="11">
        <f t="shared" si="7"/>
        <v>1</v>
      </c>
      <c r="F181" s="11">
        <f t="shared" si="5"/>
        <v>1308000000</v>
      </c>
      <c r="G181" s="11" t="s">
        <v>829</v>
      </c>
    </row>
    <row r="182" spans="1:7">
      <c r="A182" s="11" t="s">
        <v>840</v>
      </c>
      <c r="B182" s="3">
        <v>-2200700</v>
      </c>
      <c r="C182" s="11">
        <v>12</v>
      </c>
      <c r="D182" s="11">
        <f t="shared" si="6"/>
        <v>647</v>
      </c>
      <c r="E182" s="11">
        <f t="shared" si="7"/>
        <v>0</v>
      </c>
      <c r="F182" s="11">
        <f t="shared" si="5"/>
        <v>-1423852900</v>
      </c>
      <c r="G182" s="11" t="s">
        <v>842</v>
      </c>
    </row>
    <row r="183" spans="1:7">
      <c r="A183" s="11" t="s">
        <v>850</v>
      </c>
      <c r="B183" s="3">
        <v>675087</v>
      </c>
      <c r="C183" s="11">
        <v>30</v>
      </c>
      <c r="D183" s="11">
        <f t="shared" si="6"/>
        <v>635</v>
      </c>
      <c r="E183" s="11">
        <f t="shared" si="7"/>
        <v>1</v>
      </c>
      <c r="F183" s="11">
        <f t="shared" si="5"/>
        <v>428005158</v>
      </c>
      <c r="G183" s="11" t="s">
        <v>264</v>
      </c>
    </row>
    <row r="184" spans="1:7">
      <c r="A184" s="11" t="s">
        <v>886</v>
      </c>
      <c r="B184" s="3">
        <v>677000</v>
      </c>
      <c r="C184" s="11">
        <v>15</v>
      </c>
      <c r="D184" s="11">
        <f>D185+C184</f>
        <v>605</v>
      </c>
      <c r="E184" s="11">
        <f t="shared" si="7"/>
        <v>1</v>
      </c>
      <c r="F184" s="11">
        <f t="shared" si="5"/>
        <v>408908000</v>
      </c>
      <c r="G184" s="11" t="s">
        <v>400</v>
      </c>
    </row>
    <row r="185" spans="1:7">
      <c r="A185" s="11" t="s">
        <v>911</v>
      </c>
      <c r="B185" s="3">
        <v>-10000</v>
      </c>
      <c r="C185" s="11">
        <v>5</v>
      </c>
      <c r="D185" s="11">
        <f t="shared" si="6"/>
        <v>590</v>
      </c>
      <c r="E185" s="11">
        <f t="shared" si="7"/>
        <v>0</v>
      </c>
      <c r="F185" s="11">
        <f t="shared" si="5"/>
        <v>-5900000</v>
      </c>
      <c r="G185" s="11" t="s">
        <v>917</v>
      </c>
    </row>
    <row r="186" spans="1:7">
      <c r="A186" s="11" t="s">
        <v>928</v>
      </c>
      <c r="B186" s="3">
        <v>-80500000</v>
      </c>
      <c r="C186" s="11">
        <v>5</v>
      </c>
      <c r="D186" s="11">
        <f t="shared" ref="D186:D275" si="8">D187+C186</f>
        <v>585</v>
      </c>
      <c r="E186" s="11">
        <f t="shared" si="7"/>
        <v>0</v>
      </c>
      <c r="F186" s="11">
        <f t="shared" si="5"/>
        <v>-47092500000</v>
      </c>
      <c r="G186" s="11" t="s">
        <v>1017</v>
      </c>
    </row>
    <row r="187" spans="1:7">
      <c r="A187" s="11" t="s">
        <v>1016</v>
      </c>
      <c r="B187" s="3">
        <v>-1100000</v>
      </c>
      <c r="C187" s="11">
        <v>0</v>
      </c>
      <c r="D187" s="11">
        <f t="shared" si="8"/>
        <v>580</v>
      </c>
      <c r="E187" s="11">
        <f t="shared" si="7"/>
        <v>0</v>
      </c>
      <c r="F187" s="11">
        <f t="shared" si="5"/>
        <v>-638000000</v>
      </c>
      <c r="G187" s="11" t="s">
        <v>1017</v>
      </c>
    </row>
    <row r="188" spans="1:7">
      <c r="A188" s="11" t="s">
        <v>1016</v>
      </c>
      <c r="B188" s="3">
        <v>3000000</v>
      </c>
      <c r="C188" s="11">
        <v>1</v>
      </c>
      <c r="D188" s="11">
        <f t="shared" si="8"/>
        <v>580</v>
      </c>
      <c r="E188" s="11">
        <f t="shared" si="7"/>
        <v>1</v>
      </c>
      <c r="F188" s="11">
        <f t="shared" si="5"/>
        <v>1737000000</v>
      </c>
      <c r="G188" s="11" t="s">
        <v>1028</v>
      </c>
    </row>
    <row r="189" spans="1:7">
      <c r="A189" s="11" t="s">
        <v>1027</v>
      </c>
      <c r="B189" s="3">
        <v>2000000</v>
      </c>
      <c r="C189" s="11">
        <v>0</v>
      </c>
      <c r="D189" s="11">
        <f t="shared" si="8"/>
        <v>579</v>
      </c>
      <c r="E189" s="11">
        <f t="shared" si="7"/>
        <v>1</v>
      </c>
      <c r="F189" s="11">
        <f t="shared" si="5"/>
        <v>1156000000</v>
      </c>
      <c r="G189" s="11" t="s">
        <v>1028</v>
      </c>
    </row>
    <row r="190" spans="1:7">
      <c r="A190" s="11" t="s">
        <v>1027</v>
      </c>
      <c r="B190" s="3">
        <v>-5000000</v>
      </c>
      <c r="C190" s="11">
        <v>1</v>
      </c>
      <c r="D190" s="11">
        <f t="shared" si="8"/>
        <v>579</v>
      </c>
      <c r="E190" s="11">
        <f t="shared" si="7"/>
        <v>0</v>
      </c>
      <c r="F190" s="11">
        <f t="shared" si="5"/>
        <v>-2895000000</v>
      </c>
      <c r="G190" s="11" t="s">
        <v>1017</v>
      </c>
    </row>
    <row r="191" spans="1:7">
      <c r="A191" s="11" t="s">
        <v>1033</v>
      </c>
      <c r="B191" s="3">
        <v>483248</v>
      </c>
      <c r="C191" s="11">
        <v>4</v>
      </c>
      <c r="D191" s="11">
        <f t="shared" si="8"/>
        <v>578</v>
      </c>
      <c r="E191" s="11">
        <f t="shared" si="7"/>
        <v>1</v>
      </c>
      <c r="F191" s="11">
        <f t="shared" si="5"/>
        <v>278834096</v>
      </c>
      <c r="G191" s="11" t="s">
        <v>1035</v>
      </c>
    </row>
    <row r="192" spans="1:7">
      <c r="A192" s="11" t="s">
        <v>1061</v>
      </c>
      <c r="B192" s="3">
        <v>-115300</v>
      </c>
      <c r="C192" s="11">
        <v>4</v>
      </c>
      <c r="D192" s="11">
        <f t="shared" si="8"/>
        <v>574</v>
      </c>
      <c r="E192" s="11">
        <f t="shared" si="7"/>
        <v>0</v>
      </c>
      <c r="F192" s="11">
        <f t="shared" si="5"/>
        <v>-66182200</v>
      </c>
      <c r="G192" s="11" t="s">
        <v>1062</v>
      </c>
    </row>
    <row r="193" spans="1:7">
      <c r="A193" s="11" t="s">
        <v>1072</v>
      </c>
      <c r="B193" s="3">
        <v>90000000</v>
      </c>
      <c r="C193" s="11">
        <v>7</v>
      </c>
      <c r="D193" s="11">
        <f t="shared" si="8"/>
        <v>570</v>
      </c>
      <c r="E193" s="11">
        <f t="shared" si="7"/>
        <v>1</v>
      </c>
      <c r="F193" s="11">
        <f t="shared" si="5"/>
        <v>51210000000</v>
      </c>
      <c r="G193" s="11" t="s">
        <v>1073</v>
      </c>
    </row>
    <row r="194" spans="1:7">
      <c r="A194" s="11" t="s">
        <v>1076</v>
      </c>
      <c r="B194" s="3">
        <v>52000000</v>
      </c>
      <c r="C194" s="11">
        <v>0</v>
      </c>
      <c r="D194" s="11">
        <f t="shared" si="8"/>
        <v>563</v>
      </c>
      <c r="E194" s="11">
        <f t="shared" si="7"/>
        <v>1</v>
      </c>
      <c r="F194" s="11">
        <f t="shared" si="5"/>
        <v>29224000000</v>
      </c>
      <c r="G194" s="11" t="s">
        <v>1081</v>
      </c>
    </row>
    <row r="195" spans="1:7">
      <c r="A195" s="11" t="s">
        <v>1076</v>
      </c>
      <c r="B195" s="3">
        <v>25000000</v>
      </c>
      <c r="C195" s="11">
        <v>0</v>
      </c>
      <c r="D195" s="11">
        <f t="shared" si="8"/>
        <v>563</v>
      </c>
      <c r="E195" s="11">
        <f t="shared" si="7"/>
        <v>1</v>
      </c>
      <c r="F195" s="99">
        <f t="shared" si="5"/>
        <v>14050000000</v>
      </c>
      <c r="G195" s="11" t="s">
        <v>1082</v>
      </c>
    </row>
    <row r="196" spans="1:7">
      <c r="A196" s="11" t="s">
        <v>1076</v>
      </c>
      <c r="B196" s="3">
        <v>-168000000</v>
      </c>
      <c r="C196" s="11">
        <v>7</v>
      </c>
      <c r="D196" s="99">
        <f t="shared" si="8"/>
        <v>563</v>
      </c>
      <c r="E196" s="99">
        <f t="shared" si="7"/>
        <v>0</v>
      </c>
      <c r="F196" s="99">
        <f t="shared" si="5"/>
        <v>-94584000000</v>
      </c>
      <c r="G196" s="11" t="s">
        <v>1083</v>
      </c>
    </row>
    <row r="197" spans="1:7">
      <c r="A197" s="11" t="s">
        <v>1129</v>
      </c>
      <c r="B197" s="3">
        <v>-165500</v>
      </c>
      <c r="C197" s="11">
        <v>4</v>
      </c>
      <c r="D197" s="99">
        <f t="shared" si="8"/>
        <v>556</v>
      </c>
      <c r="E197" s="99">
        <f t="shared" si="7"/>
        <v>0</v>
      </c>
      <c r="F197" s="99">
        <f t="shared" si="5"/>
        <v>-92018000</v>
      </c>
      <c r="G197" s="11" t="s">
        <v>1130</v>
      </c>
    </row>
    <row r="198" spans="1:7">
      <c r="A198" s="99" t="s">
        <v>1131</v>
      </c>
      <c r="B198" s="113">
        <v>-200000</v>
      </c>
      <c r="C198" s="99">
        <v>0</v>
      </c>
      <c r="D198" s="99">
        <f t="shared" si="8"/>
        <v>552</v>
      </c>
      <c r="E198" s="99">
        <f t="shared" si="7"/>
        <v>0</v>
      </c>
      <c r="F198" s="99">
        <f t="shared" si="5"/>
        <v>-110400000</v>
      </c>
      <c r="G198" s="99" t="s">
        <v>1132</v>
      </c>
    </row>
    <row r="199" spans="1:7">
      <c r="A199" s="99" t="s">
        <v>1131</v>
      </c>
      <c r="B199" s="113">
        <v>-46981</v>
      </c>
      <c r="C199" s="99">
        <v>3</v>
      </c>
      <c r="D199" s="99">
        <f t="shared" si="8"/>
        <v>552</v>
      </c>
      <c r="E199" s="99">
        <f t="shared" si="7"/>
        <v>0</v>
      </c>
      <c r="F199" s="99">
        <f t="shared" si="5"/>
        <v>-25933512</v>
      </c>
      <c r="G199" s="99" t="s">
        <v>871</v>
      </c>
    </row>
    <row r="200" spans="1:7">
      <c r="A200" s="99" t="s">
        <v>1141</v>
      </c>
      <c r="B200" s="113">
        <v>-4650</v>
      </c>
      <c r="C200" s="99">
        <v>2</v>
      </c>
      <c r="D200" s="99">
        <f t="shared" si="8"/>
        <v>549</v>
      </c>
      <c r="E200" s="99">
        <f t="shared" si="7"/>
        <v>0</v>
      </c>
      <c r="F200" s="99">
        <f t="shared" si="5"/>
        <v>-2552850</v>
      </c>
      <c r="G200" s="99" t="s">
        <v>871</v>
      </c>
    </row>
    <row r="201" spans="1:7">
      <c r="A201" s="99" t="s">
        <v>1143</v>
      </c>
      <c r="B201" s="113">
        <v>159828</v>
      </c>
      <c r="C201" s="99">
        <v>3</v>
      </c>
      <c r="D201" s="99">
        <f t="shared" si="8"/>
        <v>547</v>
      </c>
      <c r="E201" s="99">
        <f t="shared" si="7"/>
        <v>1</v>
      </c>
      <c r="F201" s="99">
        <f t="shared" si="5"/>
        <v>87266088</v>
      </c>
      <c r="G201" s="99" t="s">
        <v>510</v>
      </c>
    </row>
    <row r="202" spans="1:7">
      <c r="A202" s="99" t="s">
        <v>1154</v>
      </c>
      <c r="B202" s="113">
        <v>-300500</v>
      </c>
      <c r="C202" s="99">
        <v>0</v>
      </c>
      <c r="D202" s="99">
        <f t="shared" si="8"/>
        <v>544</v>
      </c>
      <c r="E202" s="99">
        <f t="shared" si="7"/>
        <v>0</v>
      </c>
      <c r="F202" s="99">
        <f t="shared" si="5"/>
        <v>-163472000</v>
      </c>
      <c r="G202" s="99" t="s">
        <v>1158</v>
      </c>
    </row>
    <row r="203" spans="1:7">
      <c r="A203" s="99" t="s">
        <v>1154</v>
      </c>
      <c r="B203" s="113">
        <v>6000000</v>
      </c>
      <c r="C203" s="99">
        <v>2</v>
      </c>
      <c r="D203" s="99">
        <f t="shared" si="8"/>
        <v>544</v>
      </c>
      <c r="E203" s="99">
        <f t="shared" si="7"/>
        <v>1</v>
      </c>
      <c r="F203" s="99">
        <f t="shared" si="5"/>
        <v>3258000000</v>
      </c>
      <c r="G203" s="99" t="s">
        <v>1159</v>
      </c>
    </row>
    <row r="204" spans="1:7">
      <c r="A204" s="99" t="s">
        <v>1163</v>
      </c>
      <c r="B204" s="113">
        <v>-685000</v>
      </c>
      <c r="C204" s="99">
        <v>1</v>
      </c>
      <c r="D204" s="99">
        <f t="shared" si="8"/>
        <v>542</v>
      </c>
      <c r="E204" s="99">
        <f t="shared" si="7"/>
        <v>0</v>
      </c>
      <c r="F204" s="99">
        <f t="shared" si="5"/>
        <v>-371270000</v>
      </c>
      <c r="G204" s="99" t="s">
        <v>1164</v>
      </c>
    </row>
    <row r="205" spans="1:7">
      <c r="A205" s="99" t="s">
        <v>1165</v>
      </c>
      <c r="B205" s="113">
        <v>-3000000</v>
      </c>
      <c r="C205" s="99">
        <v>1</v>
      </c>
      <c r="D205" s="99">
        <f t="shared" si="8"/>
        <v>541</v>
      </c>
      <c r="E205" s="99">
        <f t="shared" si="7"/>
        <v>0</v>
      </c>
      <c r="F205" s="99">
        <f t="shared" si="5"/>
        <v>-1623000000</v>
      </c>
      <c r="G205" s="99" t="s">
        <v>724</v>
      </c>
    </row>
    <row r="206" spans="1:7">
      <c r="A206" s="99" t="s">
        <v>1170</v>
      </c>
      <c r="B206" s="113">
        <v>-156000</v>
      </c>
      <c r="C206" s="99">
        <v>1</v>
      </c>
      <c r="D206" s="99">
        <f t="shared" si="8"/>
        <v>540</v>
      </c>
      <c r="E206" s="99">
        <f t="shared" si="7"/>
        <v>0</v>
      </c>
      <c r="F206" s="99">
        <f t="shared" si="5"/>
        <v>-84240000</v>
      </c>
      <c r="G206" s="99" t="s">
        <v>1171</v>
      </c>
    </row>
    <row r="207" spans="1:7">
      <c r="A207" s="99" t="s">
        <v>1173</v>
      </c>
      <c r="B207" s="113">
        <v>-66000</v>
      </c>
      <c r="C207" s="99">
        <v>1</v>
      </c>
      <c r="D207" s="99">
        <f t="shared" si="8"/>
        <v>539</v>
      </c>
      <c r="E207" s="99">
        <f t="shared" si="7"/>
        <v>0</v>
      </c>
      <c r="F207" s="99">
        <f t="shared" si="5"/>
        <v>-35574000</v>
      </c>
      <c r="G207" s="99" t="s">
        <v>1178</v>
      </c>
    </row>
    <row r="208" spans="1:7">
      <c r="A208" s="99" t="s">
        <v>1179</v>
      </c>
      <c r="B208" s="113">
        <v>-2500900</v>
      </c>
      <c r="C208" s="99">
        <v>2</v>
      </c>
      <c r="D208" s="99">
        <f t="shared" si="8"/>
        <v>538</v>
      </c>
      <c r="E208" s="99">
        <f t="shared" si="7"/>
        <v>0</v>
      </c>
      <c r="F208" s="99">
        <f t="shared" si="5"/>
        <v>-1345484200</v>
      </c>
      <c r="G208" s="99" t="s">
        <v>1186</v>
      </c>
    </row>
    <row r="209" spans="1:7">
      <c r="A209" s="99" t="s">
        <v>1195</v>
      </c>
      <c r="B209" s="113">
        <v>3000000</v>
      </c>
      <c r="C209" s="99">
        <v>0</v>
      </c>
      <c r="D209" s="99">
        <f t="shared" si="8"/>
        <v>536</v>
      </c>
      <c r="E209" s="99">
        <f t="shared" si="7"/>
        <v>1</v>
      </c>
      <c r="F209" s="99">
        <f t="shared" si="5"/>
        <v>1605000000</v>
      </c>
      <c r="G209" s="99" t="s">
        <v>1201</v>
      </c>
    </row>
    <row r="210" spans="1:7">
      <c r="A210" s="99" t="s">
        <v>1195</v>
      </c>
      <c r="B210" s="113">
        <v>-2601400</v>
      </c>
      <c r="C210" s="99">
        <v>2</v>
      </c>
      <c r="D210" s="99">
        <f t="shared" si="8"/>
        <v>536</v>
      </c>
      <c r="E210" s="99">
        <f t="shared" si="7"/>
        <v>0</v>
      </c>
      <c r="F210" s="99">
        <f t="shared" si="5"/>
        <v>-1394350400</v>
      </c>
      <c r="G210" s="99" t="s">
        <v>1202</v>
      </c>
    </row>
    <row r="211" spans="1:7">
      <c r="A211" s="99" t="s">
        <v>1204</v>
      </c>
      <c r="B211" s="113">
        <v>1000000</v>
      </c>
      <c r="C211" s="99">
        <v>2</v>
      </c>
      <c r="D211" s="99">
        <f t="shared" si="8"/>
        <v>534</v>
      </c>
      <c r="E211" s="99">
        <f t="shared" si="7"/>
        <v>1</v>
      </c>
      <c r="F211" s="99">
        <f t="shared" si="5"/>
        <v>533000000</v>
      </c>
      <c r="G211" s="99" t="s">
        <v>1201</v>
      </c>
    </row>
    <row r="212" spans="1:7">
      <c r="A212" s="99" t="s">
        <v>1207</v>
      </c>
      <c r="B212" s="113">
        <v>1350000</v>
      </c>
      <c r="C212" s="99">
        <v>1</v>
      </c>
      <c r="D212" s="99">
        <f t="shared" si="8"/>
        <v>532</v>
      </c>
      <c r="E212" s="99">
        <f t="shared" si="7"/>
        <v>1</v>
      </c>
      <c r="F212" s="99">
        <f t="shared" si="5"/>
        <v>716850000</v>
      </c>
      <c r="G212" s="99" t="s">
        <v>1210</v>
      </c>
    </row>
    <row r="213" spans="1:7">
      <c r="A213" s="99" t="s">
        <v>1213</v>
      </c>
      <c r="B213" s="113">
        <v>-2200000</v>
      </c>
      <c r="C213" s="99">
        <v>0</v>
      </c>
      <c r="D213" s="99">
        <f t="shared" si="8"/>
        <v>531</v>
      </c>
      <c r="E213" s="99">
        <f t="shared" si="7"/>
        <v>0</v>
      </c>
      <c r="F213" s="99">
        <f t="shared" si="5"/>
        <v>-1168200000</v>
      </c>
      <c r="G213" s="99" t="s">
        <v>1214</v>
      </c>
    </row>
    <row r="214" spans="1:7">
      <c r="A214" s="99" t="s">
        <v>1211</v>
      </c>
      <c r="B214" s="113">
        <v>-500500</v>
      </c>
      <c r="C214" s="99">
        <v>3</v>
      </c>
      <c r="D214" s="99">
        <f t="shared" si="8"/>
        <v>531</v>
      </c>
      <c r="E214" s="99">
        <f t="shared" si="7"/>
        <v>0</v>
      </c>
      <c r="F214" s="99">
        <f t="shared" si="5"/>
        <v>-265765500</v>
      </c>
      <c r="G214" s="99" t="s">
        <v>1218</v>
      </c>
    </row>
    <row r="215" spans="1:7">
      <c r="A215" s="99" t="s">
        <v>1221</v>
      </c>
      <c r="B215" s="113">
        <v>-45000</v>
      </c>
      <c r="C215" s="99">
        <v>0</v>
      </c>
      <c r="D215" s="99">
        <f t="shared" si="8"/>
        <v>528</v>
      </c>
      <c r="E215" s="99">
        <f t="shared" si="7"/>
        <v>0</v>
      </c>
      <c r="F215" s="99">
        <f t="shared" si="5"/>
        <v>-23760000</v>
      </c>
      <c r="G215" s="99" t="s">
        <v>1224</v>
      </c>
    </row>
    <row r="216" spans="1:7">
      <c r="A216" s="99" t="s">
        <v>1221</v>
      </c>
      <c r="B216" s="113">
        <v>1000000</v>
      </c>
      <c r="C216" s="99">
        <v>0</v>
      </c>
      <c r="D216" s="99">
        <f t="shared" si="8"/>
        <v>528</v>
      </c>
      <c r="E216" s="99">
        <f t="shared" si="7"/>
        <v>1</v>
      </c>
      <c r="F216" s="99">
        <f t="shared" si="5"/>
        <v>527000000</v>
      </c>
      <c r="G216" s="99" t="s">
        <v>1225</v>
      </c>
    </row>
    <row r="217" spans="1:7">
      <c r="A217" s="99" t="s">
        <v>1221</v>
      </c>
      <c r="B217" s="113">
        <v>-100000</v>
      </c>
      <c r="C217" s="99">
        <v>1</v>
      </c>
      <c r="D217" s="99">
        <f t="shared" si="8"/>
        <v>528</v>
      </c>
      <c r="E217" s="99">
        <f t="shared" si="7"/>
        <v>0</v>
      </c>
      <c r="F217" s="99">
        <f t="shared" si="5"/>
        <v>-52800000</v>
      </c>
      <c r="G217" s="99" t="s">
        <v>502</v>
      </c>
    </row>
    <row r="218" spans="1:7">
      <c r="A218" s="99" t="s">
        <v>1227</v>
      </c>
      <c r="B218" s="113">
        <v>-300000</v>
      </c>
      <c r="C218" s="99">
        <v>3</v>
      </c>
      <c r="D218" s="99">
        <f t="shared" si="8"/>
        <v>527</v>
      </c>
      <c r="E218" s="99">
        <f t="shared" si="7"/>
        <v>0</v>
      </c>
      <c r="F218" s="99">
        <f t="shared" si="5"/>
        <v>-158100000</v>
      </c>
      <c r="G218" s="99" t="s">
        <v>1228</v>
      </c>
    </row>
    <row r="219" spans="1:7">
      <c r="A219" s="99" t="s">
        <v>1240</v>
      </c>
      <c r="B219" s="113">
        <v>-50910</v>
      </c>
      <c r="C219" s="99">
        <v>0</v>
      </c>
      <c r="D219" s="99">
        <f t="shared" si="8"/>
        <v>524</v>
      </c>
      <c r="E219" s="99">
        <f t="shared" si="7"/>
        <v>0</v>
      </c>
      <c r="F219" s="99">
        <f t="shared" si="5"/>
        <v>-26676840</v>
      </c>
      <c r="G219" s="99" t="s">
        <v>1241</v>
      </c>
    </row>
    <row r="220" spans="1:7">
      <c r="A220" s="99" t="s">
        <v>1240</v>
      </c>
      <c r="B220" s="113">
        <v>-550500</v>
      </c>
      <c r="C220" s="99">
        <v>2</v>
      </c>
      <c r="D220" s="99">
        <f t="shared" si="8"/>
        <v>524</v>
      </c>
      <c r="E220" s="99">
        <f t="shared" si="7"/>
        <v>0</v>
      </c>
      <c r="F220" s="99">
        <f t="shared" si="5"/>
        <v>-288462000</v>
      </c>
      <c r="G220" s="99" t="s">
        <v>1242</v>
      </c>
    </row>
    <row r="221" spans="1:7">
      <c r="A221" s="99" t="s">
        <v>3658</v>
      </c>
      <c r="B221" s="113">
        <v>1600000</v>
      </c>
      <c r="C221" s="99">
        <v>1</v>
      </c>
      <c r="D221" s="99">
        <f t="shared" si="8"/>
        <v>522</v>
      </c>
      <c r="E221" s="99">
        <f t="shared" si="7"/>
        <v>1</v>
      </c>
      <c r="F221" s="99">
        <f t="shared" si="5"/>
        <v>833600000</v>
      </c>
      <c r="G221" s="99" t="s">
        <v>3659</v>
      </c>
    </row>
    <row r="222" spans="1:7">
      <c r="A222" s="99" t="s">
        <v>3660</v>
      </c>
      <c r="B222" s="113">
        <v>-1500700</v>
      </c>
      <c r="C222" s="99">
        <v>5</v>
      </c>
      <c r="D222" s="99">
        <f t="shared" si="8"/>
        <v>521</v>
      </c>
      <c r="E222" s="99">
        <f t="shared" si="7"/>
        <v>0</v>
      </c>
      <c r="F222" s="99">
        <f t="shared" si="5"/>
        <v>-781864700</v>
      </c>
      <c r="G222" s="99" t="s">
        <v>3662</v>
      </c>
    </row>
    <row r="223" spans="1:7">
      <c r="A223" s="99" t="s">
        <v>3670</v>
      </c>
      <c r="B223" s="113">
        <v>8619</v>
      </c>
      <c r="C223" s="99">
        <v>3</v>
      </c>
      <c r="D223" s="99">
        <f t="shared" si="8"/>
        <v>516</v>
      </c>
      <c r="E223" s="99">
        <f t="shared" si="7"/>
        <v>1</v>
      </c>
      <c r="F223" s="99">
        <f t="shared" si="5"/>
        <v>4438785</v>
      </c>
      <c r="G223" s="99" t="s">
        <v>3673</v>
      </c>
    </row>
    <row r="224" spans="1:7">
      <c r="A224" s="11" t="s">
        <v>3677</v>
      </c>
      <c r="B224" s="3">
        <v>3000000</v>
      </c>
      <c r="C224" s="11">
        <v>2</v>
      </c>
      <c r="D224" s="99">
        <f t="shared" si="8"/>
        <v>513</v>
      </c>
      <c r="E224" s="99">
        <f t="shared" si="7"/>
        <v>1</v>
      </c>
      <c r="F224" s="99">
        <f t="shared" si="5"/>
        <v>1536000000</v>
      </c>
      <c r="G224" s="11" t="s">
        <v>1201</v>
      </c>
    </row>
    <row r="225" spans="1:7">
      <c r="A225" s="11" t="s">
        <v>3693</v>
      </c>
      <c r="B225" s="3">
        <v>-3000900</v>
      </c>
      <c r="C225" s="11">
        <v>1</v>
      </c>
      <c r="D225" s="99">
        <f t="shared" si="8"/>
        <v>511</v>
      </c>
      <c r="E225" s="99">
        <f t="shared" si="7"/>
        <v>0</v>
      </c>
      <c r="F225" s="99">
        <f t="shared" si="5"/>
        <v>-1533459900</v>
      </c>
      <c r="G225" s="11" t="s">
        <v>3694</v>
      </c>
    </row>
    <row r="226" spans="1:7">
      <c r="A226" s="99" t="s">
        <v>3699</v>
      </c>
      <c r="B226" s="113">
        <v>3000000</v>
      </c>
      <c r="C226" s="99">
        <v>0</v>
      </c>
      <c r="D226" s="99">
        <f t="shared" si="8"/>
        <v>510</v>
      </c>
      <c r="E226" s="99">
        <f t="shared" si="7"/>
        <v>1</v>
      </c>
      <c r="F226" s="99">
        <f t="shared" si="5"/>
        <v>1527000000</v>
      </c>
      <c r="G226" s="99" t="s">
        <v>616</v>
      </c>
    </row>
    <row r="227" spans="1:7">
      <c r="A227" s="99" t="s">
        <v>3699</v>
      </c>
      <c r="B227" s="113">
        <v>-175400</v>
      </c>
      <c r="C227" s="99">
        <v>1</v>
      </c>
      <c r="D227" s="99">
        <f t="shared" si="8"/>
        <v>510</v>
      </c>
      <c r="E227" s="99">
        <f t="shared" si="7"/>
        <v>0</v>
      </c>
      <c r="F227" s="99">
        <f t="shared" si="5"/>
        <v>-89454000</v>
      </c>
      <c r="G227" s="99" t="s">
        <v>3700</v>
      </c>
    </row>
    <row r="228" spans="1:7">
      <c r="A228" s="99" t="s">
        <v>3703</v>
      </c>
      <c r="B228" s="113">
        <v>-1200500</v>
      </c>
      <c r="C228" s="99">
        <v>0</v>
      </c>
      <c r="D228" s="99">
        <f t="shared" si="8"/>
        <v>509</v>
      </c>
      <c r="E228" s="99">
        <f t="shared" si="7"/>
        <v>0</v>
      </c>
      <c r="F228" s="99">
        <f t="shared" si="5"/>
        <v>-611054500</v>
      </c>
      <c r="G228" s="99" t="s">
        <v>3704</v>
      </c>
    </row>
    <row r="229" spans="1:7">
      <c r="A229" s="99" t="s">
        <v>3703</v>
      </c>
      <c r="B229" s="113">
        <v>-20555</v>
      </c>
      <c r="C229" s="99">
        <v>1</v>
      </c>
      <c r="D229" s="99">
        <f t="shared" si="8"/>
        <v>509</v>
      </c>
      <c r="E229" s="99">
        <f t="shared" si="7"/>
        <v>0</v>
      </c>
      <c r="F229" s="99">
        <f t="shared" si="5"/>
        <v>-10462495</v>
      </c>
      <c r="G229" s="99" t="s">
        <v>655</v>
      </c>
    </row>
    <row r="230" spans="1:7">
      <c r="A230" s="99" t="s">
        <v>3706</v>
      </c>
      <c r="B230" s="113">
        <v>-1014466</v>
      </c>
      <c r="C230" s="99">
        <v>1</v>
      </c>
      <c r="D230" s="99">
        <f t="shared" si="8"/>
        <v>508</v>
      </c>
      <c r="E230" s="99">
        <f t="shared" si="7"/>
        <v>0</v>
      </c>
      <c r="F230" s="99">
        <f t="shared" si="5"/>
        <v>-515348728</v>
      </c>
      <c r="G230" s="99" t="s">
        <v>3707</v>
      </c>
    </row>
    <row r="231" spans="1:7">
      <c r="A231" s="99" t="s">
        <v>3714</v>
      </c>
      <c r="B231" s="113">
        <v>-24225</v>
      </c>
      <c r="C231" s="99">
        <v>1</v>
      </c>
      <c r="D231" s="99">
        <f t="shared" si="8"/>
        <v>507</v>
      </c>
      <c r="E231" s="99">
        <f t="shared" si="7"/>
        <v>0</v>
      </c>
      <c r="F231" s="99">
        <f t="shared" si="5"/>
        <v>-12282075</v>
      </c>
      <c r="G231" s="99" t="s">
        <v>655</v>
      </c>
    </row>
    <row r="232" spans="1:7">
      <c r="A232" s="99" t="s">
        <v>3715</v>
      </c>
      <c r="B232" s="113">
        <v>1100000</v>
      </c>
      <c r="C232" s="99">
        <v>0</v>
      </c>
      <c r="D232" s="99">
        <f t="shared" si="8"/>
        <v>506</v>
      </c>
      <c r="E232" s="99">
        <f t="shared" si="7"/>
        <v>1</v>
      </c>
      <c r="F232" s="99">
        <f t="shared" si="5"/>
        <v>555500000</v>
      </c>
      <c r="G232" s="99" t="s">
        <v>3716</v>
      </c>
    </row>
    <row r="233" spans="1:7">
      <c r="A233" s="99" t="s">
        <v>3715</v>
      </c>
      <c r="B233" s="113">
        <v>-147900</v>
      </c>
      <c r="C233" s="99">
        <v>4</v>
      </c>
      <c r="D233" s="99">
        <f t="shared" si="8"/>
        <v>506</v>
      </c>
      <c r="E233" s="99">
        <f t="shared" si="7"/>
        <v>0</v>
      </c>
      <c r="F233" s="99">
        <f t="shared" si="5"/>
        <v>-74837400</v>
      </c>
      <c r="G233" s="99" t="s">
        <v>3722</v>
      </c>
    </row>
    <row r="234" spans="1:7">
      <c r="A234" s="99" t="s">
        <v>3729</v>
      </c>
      <c r="B234" s="113">
        <v>-67965</v>
      </c>
      <c r="C234" s="99">
        <v>5</v>
      </c>
      <c r="D234" s="99">
        <f t="shared" si="8"/>
        <v>502</v>
      </c>
      <c r="E234" s="99">
        <f t="shared" si="7"/>
        <v>0</v>
      </c>
      <c r="F234" s="99">
        <f t="shared" si="5"/>
        <v>-34118430</v>
      </c>
      <c r="G234" s="99" t="s">
        <v>655</v>
      </c>
    </row>
    <row r="235" spans="1:7">
      <c r="A235" s="99" t="s">
        <v>3755</v>
      </c>
      <c r="B235" s="113">
        <v>-114734</v>
      </c>
      <c r="C235" s="99">
        <v>1</v>
      </c>
      <c r="D235" s="99">
        <f t="shared" si="8"/>
        <v>497</v>
      </c>
      <c r="E235" s="99">
        <f t="shared" si="7"/>
        <v>0</v>
      </c>
      <c r="F235" s="99">
        <f t="shared" si="5"/>
        <v>-57022798</v>
      </c>
      <c r="G235" s="99" t="s">
        <v>3756</v>
      </c>
    </row>
    <row r="236" spans="1:7">
      <c r="A236" s="99" t="s">
        <v>1142</v>
      </c>
      <c r="B236" s="113">
        <v>-360000</v>
      </c>
      <c r="C236" s="99">
        <v>0</v>
      </c>
      <c r="D236" s="99">
        <f t="shared" si="8"/>
        <v>496</v>
      </c>
      <c r="E236" s="99">
        <f t="shared" si="7"/>
        <v>0</v>
      </c>
      <c r="F236" s="99">
        <f t="shared" si="5"/>
        <v>-178560000</v>
      </c>
      <c r="G236" s="99" t="s">
        <v>3757</v>
      </c>
    </row>
    <row r="237" spans="1:7">
      <c r="A237" s="99" t="s">
        <v>1142</v>
      </c>
      <c r="B237" s="113">
        <v>-211000</v>
      </c>
      <c r="C237" s="99">
        <v>0</v>
      </c>
      <c r="D237" s="99">
        <f t="shared" si="8"/>
        <v>496</v>
      </c>
      <c r="E237" s="99">
        <f t="shared" si="7"/>
        <v>0</v>
      </c>
      <c r="F237" s="99">
        <f t="shared" si="5"/>
        <v>-104656000</v>
      </c>
      <c r="G237" s="99" t="s">
        <v>3759</v>
      </c>
    </row>
    <row r="238" spans="1:7">
      <c r="A238" s="99" t="s">
        <v>1142</v>
      </c>
      <c r="B238" s="113">
        <v>-189700</v>
      </c>
      <c r="C238" s="99">
        <v>1</v>
      </c>
      <c r="D238" s="99">
        <f t="shared" si="8"/>
        <v>496</v>
      </c>
      <c r="E238" s="99">
        <f t="shared" si="7"/>
        <v>0</v>
      </c>
      <c r="F238" s="99">
        <f t="shared" si="5"/>
        <v>-94091200</v>
      </c>
      <c r="G238" s="99" t="s">
        <v>3762</v>
      </c>
    </row>
    <row r="239" spans="1:7">
      <c r="A239" s="99" t="s">
        <v>3763</v>
      </c>
      <c r="B239" s="113">
        <v>-400500</v>
      </c>
      <c r="C239" s="99">
        <v>0</v>
      </c>
      <c r="D239" s="99">
        <f t="shared" si="8"/>
        <v>495</v>
      </c>
      <c r="E239" s="99">
        <f t="shared" si="7"/>
        <v>0</v>
      </c>
      <c r="F239" s="99">
        <f t="shared" si="5"/>
        <v>-198247500</v>
      </c>
      <c r="G239" s="99" t="s">
        <v>3764</v>
      </c>
    </row>
    <row r="240" spans="1:7">
      <c r="A240" s="99" t="s">
        <v>3763</v>
      </c>
      <c r="B240" s="113">
        <v>400000</v>
      </c>
      <c r="C240" s="99">
        <v>3</v>
      </c>
      <c r="D240" s="99">
        <f t="shared" si="8"/>
        <v>495</v>
      </c>
      <c r="E240" s="99">
        <f t="shared" si="7"/>
        <v>1</v>
      </c>
      <c r="F240" s="99">
        <f t="shared" si="5"/>
        <v>197600000</v>
      </c>
      <c r="G240" s="99" t="s">
        <v>3765</v>
      </c>
    </row>
    <row r="241" spans="1:7">
      <c r="A241" s="99" t="s">
        <v>3780</v>
      </c>
      <c r="B241" s="113">
        <v>-320875</v>
      </c>
      <c r="C241" s="99">
        <v>7</v>
      </c>
      <c r="D241" s="99">
        <f t="shared" si="8"/>
        <v>492</v>
      </c>
      <c r="E241" s="99">
        <f t="shared" si="7"/>
        <v>0</v>
      </c>
      <c r="F241" s="99">
        <f t="shared" si="5"/>
        <v>-157870500</v>
      </c>
      <c r="G241" s="99" t="s">
        <v>3781</v>
      </c>
    </row>
    <row r="242" spans="1:7">
      <c r="A242" s="99" t="s">
        <v>3790</v>
      </c>
      <c r="B242" s="113">
        <v>6074</v>
      </c>
      <c r="C242" s="99">
        <v>2</v>
      </c>
      <c r="D242" s="99">
        <f t="shared" si="8"/>
        <v>485</v>
      </c>
      <c r="E242" s="99">
        <f t="shared" si="7"/>
        <v>1</v>
      </c>
      <c r="F242" s="99">
        <f t="shared" si="5"/>
        <v>2939816</v>
      </c>
      <c r="G242" s="99" t="s">
        <v>585</v>
      </c>
    </row>
    <row r="243" spans="1:7">
      <c r="A243" s="99" t="s">
        <v>3792</v>
      </c>
      <c r="B243" s="113">
        <v>-370500</v>
      </c>
      <c r="C243" s="99">
        <v>15</v>
      </c>
      <c r="D243" s="99">
        <f t="shared" si="8"/>
        <v>483</v>
      </c>
      <c r="E243" s="99">
        <f t="shared" si="7"/>
        <v>0</v>
      </c>
      <c r="F243" s="99">
        <f t="shared" si="5"/>
        <v>-178951500</v>
      </c>
      <c r="G243" s="99" t="s">
        <v>3793</v>
      </c>
    </row>
    <row r="244" spans="1:7">
      <c r="A244" s="99" t="s">
        <v>3901</v>
      </c>
      <c r="B244" s="113">
        <v>3000000</v>
      </c>
      <c r="C244" s="99">
        <v>2</v>
      </c>
      <c r="D244" s="99">
        <f t="shared" si="8"/>
        <v>468</v>
      </c>
      <c r="E244" s="99">
        <f t="shared" si="7"/>
        <v>1</v>
      </c>
      <c r="F244" s="99">
        <f t="shared" si="5"/>
        <v>1401000000</v>
      </c>
      <c r="G244" s="99" t="s">
        <v>3902</v>
      </c>
    </row>
    <row r="245" spans="1:7">
      <c r="A245" s="99" t="s">
        <v>3909</v>
      </c>
      <c r="B245" s="113">
        <v>-80000</v>
      </c>
      <c r="C245" s="99">
        <v>1</v>
      </c>
      <c r="D245" s="99">
        <f t="shared" si="8"/>
        <v>466</v>
      </c>
      <c r="E245" s="99">
        <f t="shared" si="7"/>
        <v>0</v>
      </c>
      <c r="F245" s="99">
        <f t="shared" si="5"/>
        <v>-37280000</v>
      </c>
      <c r="G245" s="99" t="s">
        <v>502</v>
      </c>
    </row>
    <row r="246" spans="1:7">
      <c r="A246" s="99" t="s">
        <v>3910</v>
      </c>
      <c r="B246" s="113">
        <v>-2700000</v>
      </c>
      <c r="C246" s="99">
        <v>0</v>
      </c>
      <c r="D246" s="99">
        <f t="shared" si="8"/>
        <v>465</v>
      </c>
      <c r="E246" s="99">
        <f t="shared" si="7"/>
        <v>0</v>
      </c>
      <c r="F246" s="99">
        <f t="shared" si="5"/>
        <v>-1255500000</v>
      </c>
      <c r="G246" s="99" t="s">
        <v>3912</v>
      </c>
    </row>
    <row r="247" spans="1:7">
      <c r="A247" s="99" t="s">
        <v>3910</v>
      </c>
      <c r="B247" s="113">
        <v>-30000</v>
      </c>
      <c r="C247" s="99">
        <v>2</v>
      </c>
      <c r="D247" s="99">
        <f t="shared" si="8"/>
        <v>465</v>
      </c>
      <c r="E247" s="99">
        <f t="shared" si="7"/>
        <v>0</v>
      </c>
      <c r="F247" s="99">
        <f t="shared" si="5"/>
        <v>-13950000</v>
      </c>
      <c r="G247" s="99" t="s">
        <v>3912</v>
      </c>
    </row>
    <row r="248" spans="1:7">
      <c r="A248" s="99" t="s">
        <v>3916</v>
      </c>
      <c r="B248" s="113">
        <v>-120000</v>
      </c>
      <c r="C248" s="99">
        <v>1</v>
      </c>
      <c r="D248" s="99">
        <f t="shared" si="8"/>
        <v>463</v>
      </c>
      <c r="E248" s="99">
        <f t="shared" si="7"/>
        <v>0</v>
      </c>
      <c r="F248" s="99">
        <f t="shared" si="5"/>
        <v>-55560000</v>
      </c>
      <c r="G248" s="99" t="s">
        <v>3917</v>
      </c>
    </row>
    <row r="249" spans="1:7">
      <c r="A249" s="74" t="s">
        <v>3934</v>
      </c>
      <c r="B249" s="163">
        <v>-56425</v>
      </c>
      <c r="C249" s="99">
        <v>1</v>
      </c>
      <c r="D249" s="99">
        <f t="shared" si="8"/>
        <v>462</v>
      </c>
      <c r="E249" s="99">
        <f>IF(B250&gt;0,1,0)</f>
        <v>1</v>
      </c>
      <c r="F249" s="99">
        <f t="shared" si="5"/>
        <v>-26011925</v>
      </c>
      <c r="G249" s="74" t="s">
        <v>655</v>
      </c>
    </row>
    <row r="250" spans="1:7">
      <c r="A250" s="99" t="s">
        <v>3924</v>
      </c>
      <c r="B250" s="113">
        <v>800000</v>
      </c>
      <c r="C250" s="99">
        <v>1</v>
      </c>
      <c r="D250" s="99">
        <f t="shared" si="8"/>
        <v>461</v>
      </c>
      <c r="E250" s="99">
        <f>IF(B251&gt;0,1,0)</f>
        <v>0</v>
      </c>
      <c r="F250" s="99">
        <f t="shared" ref="F250:F313" si="9">B250*(D250-E250)</f>
        <v>368800000</v>
      </c>
      <c r="G250" s="99" t="s">
        <v>3889</v>
      </c>
    </row>
    <row r="251" spans="1:7">
      <c r="A251" s="99" t="s">
        <v>3929</v>
      </c>
      <c r="B251" s="113">
        <v>-19450</v>
      </c>
      <c r="C251" s="99">
        <v>0</v>
      </c>
      <c r="D251" s="99">
        <f t="shared" si="8"/>
        <v>460</v>
      </c>
      <c r="E251" s="99">
        <f>IF(B252&gt;0,1,0)</f>
        <v>0</v>
      </c>
      <c r="F251" s="99">
        <f t="shared" si="9"/>
        <v>-8947000</v>
      </c>
      <c r="G251" s="99" t="s">
        <v>3932</v>
      </c>
    </row>
    <row r="252" spans="1:7">
      <c r="A252" s="99" t="s">
        <v>3929</v>
      </c>
      <c r="B252" s="113">
        <v>-500000</v>
      </c>
      <c r="C252" s="99">
        <v>0</v>
      </c>
      <c r="D252" s="99">
        <f t="shared" si="8"/>
        <v>460</v>
      </c>
      <c r="E252" s="99">
        <f>IF(B253&gt;0,1,0)</f>
        <v>1</v>
      </c>
      <c r="F252" s="99">
        <f t="shared" si="9"/>
        <v>-229500000</v>
      </c>
      <c r="G252" s="99" t="s">
        <v>3933</v>
      </c>
    </row>
    <row r="253" spans="1:7">
      <c r="A253" s="99" t="s">
        <v>3929</v>
      </c>
      <c r="B253" s="113">
        <v>500000</v>
      </c>
      <c r="C253" s="99">
        <v>0</v>
      </c>
      <c r="D253" s="99">
        <f t="shared" si="8"/>
        <v>460</v>
      </c>
      <c r="E253" s="99">
        <f t="shared" ref="E253:E275" si="10">IF(B254&gt;0,1,0)</f>
        <v>0</v>
      </c>
      <c r="F253" s="99">
        <f t="shared" si="9"/>
        <v>230000000</v>
      </c>
      <c r="G253" s="99" t="s">
        <v>3933</v>
      </c>
    </row>
    <row r="254" spans="1:7">
      <c r="A254" s="99" t="s">
        <v>3929</v>
      </c>
      <c r="B254" s="113">
        <v>-454613</v>
      </c>
      <c r="C254" s="99">
        <v>1</v>
      </c>
      <c r="D254" s="99">
        <f t="shared" si="8"/>
        <v>460</v>
      </c>
      <c r="E254" s="99">
        <f t="shared" si="10"/>
        <v>0</v>
      </c>
      <c r="F254" s="99">
        <f t="shared" si="9"/>
        <v>-209121980</v>
      </c>
      <c r="G254" s="99" t="s">
        <v>3935</v>
      </c>
    </row>
    <row r="255" spans="1:7">
      <c r="A255" s="99" t="s">
        <v>3937</v>
      </c>
      <c r="B255" s="113">
        <v>-19600</v>
      </c>
      <c r="C255" s="99">
        <v>0</v>
      </c>
      <c r="D255" s="99">
        <f t="shared" si="8"/>
        <v>459</v>
      </c>
      <c r="E255" s="99">
        <f t="shared" si="10"/>
        <v>0</v>
      </c>
      <c r="F255" s="99">
        <f t="shared" si="9"/>
        <v>-8996400</v>
      </c>
      <c r="G255" s="99" t="s">
        <v>3939</v>
      </c>
    </row>
    <row r="256" spans="1:7">
      <c r="A256" s="99" t="s">
        <v>3937</v>
      </c>
      <c r="B256" s="113">
        <v>-25220</v>
      </c>
      <c r="C256" s="99">
        <v>1</v>
      </c>
      <c r="D256" s="99">
        <f t="shared" si="8"/>
        <v>459</v>
      </c>
      <c r="E256" s="99">
        <f t="shared" si="10"/>
        <v>0</v>
      </c>
      <c r="F256" s="99">
        <f t="shared" si="9"/>
        <v>-11575980</v>
      </c>
      <c r="G256" s="99" t="s">
        <v>3756</v>
      </c>
    </row>
    <row r="257" spans="1:11">
      <c r="A257" s="99" t="s">
        <v>3941</v>
      </c>
      <c r="B257" s="113">
        <v>-149500</v>
      </c>
      <c r="C257" s="99">
        <v>0</v>
      </c>
      <c r="D257" s="99">
        <f t="shared" si="8"/>
        <v>458</v>
      </c>
      <c r="E257" s="99">
        <f t="shared" si="10"/>
        <v>0</v>
      </c>
      <c r="F257" s="99">
        <f t="shared" si="9"/>
        <v>-68471000</v>
      </c>
      <c r="G257" s="99" t="s">
        <v>3942</v>
      </c>
    </row>
    <row r="258" spans="1:11">
      <c r="A258" s="99" t="s">
        <v>3941</v>
      </c>
      <c r="B258" s="113">
        <v>-155000</v>
      </c>
      <c r="C258" s="99">
        <v>82</v>
      </c>
      <c r="D258" s="99">
        <f t="shared" si="8"/>
        <v>458</v>
      </c>
      <c r="E258" s="99">
        <f t="shared" si="10"/>
        <v>0</v>
      </c>
      <c r="F258" s="99">
        <f t="shared" si="9"/>
        <v>-70990000</v>
      </c>
      <c r="G258" s="99" t="s">
        <v>3943</v>
      </c>
    </row>
    <row r="259" spans="1:11">
      <c r="A259" s="99" t="s">
        <v>4233</v>
      </c>
      <c r="B259" s="113">
        <v>-5000</v>
      </c>
      <c r="C259" s="99">
        <v>82</v>
      </c>
      <c r="D259" s="99">
        <f t="shared" si="8"/>
        <v>376</v>
      </c>
      <c r="E259" s="99">
        <f t="shared" si="10"/>
        <v>1</v>
      </c>
      <c r="F259" s="99">
        <f t="shared" si="9"/>
        <v>-1875000</v>
      </c>
      <c r="G259" s="99" t="s">
        <v>4240</v>
      </c>
    </row>
    <row r="260" spans="1:11">
      <c r="A260" s="99" t="s">
        <v>4559</v>
      </c>
      <c r="B260" s="113">
        <v>100000</v>
      </c>
      <c r="C260" s="99">
        <v>1</v>
      </c>
      <c r="D260" s="99">
        <f t="shared" si="8"/>
        <v>294</v>
      </c>
      <c r="E260" s="99">
        <f t="shared" si="10"/>
        <v>1</v>
      </c>
      <c r="F260" s="99">
        <f t="shared" si="9"/>
        <v>29300000</v>
      </c>
      <c r="G260" s="99" t="s">
        <v>3889</v>
      </c>
    </row>
    <row r="261" spans="1:11">
      <c r="A261" s="99" t="s">
        <v>993</v>
      </c>
      <c r="B261" s="113">
        <v>3000000</v>
      </c>
      <c r="C261" s="99">
        <v>3</v>
      </c>
      <c r="D261" s="99">
        <f t="shared" si="8"/>
        <v>293</v>
      </c>
      <c r="E261" s="99">
        <f t="shared" si="10"/>
        <v>0</v>
      </c>
      <c r="F261" s="99">
        <f t="shared" si="9"/>
        <v>879000000</v>
      </c>
      <c r="G261" s="99" t="s">
        <v>3889</v>
      </c>
    </row>
    <row r="262" spans="1:11">
      <c r="A262" s="99" t="s">
        <v>4571</v>
      </c>
      <c r="B262" s="113">
        <v>-66500</v>
      </c>
      <c r="C262" s="99">
        <v>2</v>
      </c>
      <c r="D262" s="99">
        <f t="shared" si="8"/>
        <v>290</v>
      </c>
      <c r="E262" s="99">
        <f t="shared" si="10"/>
        <v>0</v>
      </c>
      <c r="F262" s="99">
        <f t="shared" si="9"/>
        <v>-19285000</v>
      </c>
      <c r="G262" s="99" t="s">
        <v>3962</v>
      </c>
      <c r="K262" t="s">
        <v>25</v>
      </c>
    </row>
    <row r="263" spans="1:11">
      <c r="A263" s="99" t="s">
        <v>4572</v>
      </c>
      <c r="B263" s="113">
        <v>-37878</v>
      </c>
      <c r="C263" s="99">
        <v>2</v>
      </c>
      <c r="D263" s="99">
        <f t="shared" si="8"/>
        <v>288</v>
      </c>
      <c r="E263" s="99">
        <f t="shared" si="10"/>
        <v>0</v>
      </c>
      <c r="F263" s="99">
        <f t="shared" si="9"/>
        <v>-10908864</v>
      </c>
      <c r="G263" s="99" t="s">
        <v>4573</v>
      </c>
      <c r="J263" t="s">
        <v>25</v>
      </c>
      <c r="K263" t="s">
        <v>25</v>
      </c>
    </row>
    <row r="264" spans="1:11">
      <c r="A264" s="99" t="s">
        <v>4568</v>
      </c>
      <c r="B264" s="113">
        <v>-41500</v>
      </c>
      <c r="C264" s="99">
        <v>3</v>
      </c>
      <c r="D264" s="99">
        <f t="shared" si="8"/>
        <v>286</v>
      </c>
      <c r="E264" s="99">
        <f t="shared" si="10"/>
        <v>0</v>
      </c>
      <c r="F264" s="99">
        <f t="shared" si="9"/>
        <v>-11869000</v>
      </c>
      <c r="G264" s="99" t="s">
        <v>1038</v>
      </c>
      <c r="J264" t="s">
        <v>25</v>
      </c>
    </row>
    <row r="265" spans="1:11">
      <c r="A265" s="99" t="s">
        <v>4599</v>
      </c>
      <c r="B265" s="113">
        <v>-190000</v>
      </c>
      <c r="C265" s="99">
        <v>1</v>
      </c>
      <c r="D265" s="99">
        <f t="shared" si="8"/>
        <v>283</v>
      </c>
      <c r="E265" s="99">
        <f t="shared" si="10"/>
        <v>0</v>
      </c>
      <c r="F265" s="99">
        <f t="shared" si="9"/>
        <v>-53770000</v>
      </c>
      <c r="G265" s="99"/>
    </row>
    <row r="266" spans="1:11">
      <c r="A266" s="99" t="s">
        <v>4598</v>
      </c>
      <c r="B266" s="113">
        <v>-55000</v>
      </c>
      <c r="C266" s="99">
        <v>1</v>
      </c>
      <c r="D266" s="99">
        <f t="shared" si="8"/>
        <v>282</v>
      </c>
      <c r="E266" s="99">
        <f t="shared" si="10"/>
        <v>0</v>
      </c>
      <c r="F266" s="99">
        <f t="shared" si="9"/>
        <v>-15510000</v>
      </c>
      <c r="G266" s="99"/>
    </row>
    <row r="267" spans="1:11">
      <c r="A267" s="99" t="s">
        <v>4587</v>
      </c>
      <c r="B267" s="113">
        <v>-29395</v>
      </c>
      <c r="C267" s="99">
        <v>2</v>
      </c>
      <c r="D267" s="99">
        <f t="shared" si="8"/>
        <v>281</v>
      </c>
      <c r="E267" s="99">
        <f t="shared" si="10"/>
        <v>0</v>
      </c>
      <c r="F267" s="99">
        <f t="shared" si="9"/>
        <v>-8259995</v>
      </c>
      <c r="G267" s="99"/>
    </row>
    <row r="268" spans="1:11">
      <c r="A268" s="99" t="s">
        <v>4226</v>
      </c>
      <c r="B268" s="113">
        <v>-50000</v>
      </c>
      <c r="C268" s="99">
        <v>1</v>
      </c>
      <c r="D268" s="99">
        <f t="shared" si="8"/>
        <v>279</v>
      </c>
      <c r="E268" s="99">
        <f t="shared" si="10"/>
        <v>0</v>
      </c>
      <c r="F268" s="99">
        <f t="shared" si="9"/>
        <v>-13950000</v>
      </c>
      <c r="G268" s="99"/>
    </row>
    <row r="269" spans="1:11">
      <c r="A269" s="99" t="s">
        <v>4601</v>
      </c>
      <c r="B269" s="113">
        <v>-80000</v>
      </c>
      <c r="C269" s="99">
        <v>1</v>
      </c>
      <c r="D269" s="99">
        <f t="shared" si="8"/>
        <v>278</v>
      </c>
      <c r="E269" s="99">
        <f t="shared" si="10"/>
        <v>0</v>
      </c>
      <c r="F269" s="99">
        <f t="shared" si="9"/>
        <v>-22240000</v>
      </c>
      <c r="G269" s="99"/>
    </row>
    <row r="270" spans="1:11">
      <c r="A270" s="99" t="s">
        <v>3689</v>
      </c>
      <c r="B270" s="113">
        <v>-98909</v>
      </c>
      <c r="C270" s="99">
        <v>3</v>
      </c>
      <c r="D270" s="99">
        <f t="shared" si="8"/>
        <v>277</v>
      </c>
      <c r="E270" s="99">
        <f t="shared" si="10"/>
        <v>0</v>
      </c>
      <c r="F270" s="99">
        <f t="shared" si="9"/>
        <v>-27397793</v>
      </c>
      <c r="G270" s="99"/>
    </row>
    <row r="271" spans="1:11">
      <c r="A271" s="99" t="s">
        <v>4606</v>
      </c>
      <c r="B271" s="113">
        <v>-9380</v>
      </c>
      <c r="C271" s="99">
        <v>0</v>
      </c>
      <c r="D271" s="99">
        <f t="shared" si="8"/>
        <v>274</v>
      </c>
      <c r="E271" s="99">
        <f t="shared" si="10"/>
        <v>0</v>
      </c>
      <c r="F271" s="99">
        <f t="shared" si="9"/>
        <v>-2570120</v>
      </c>
      <c r="G271" s="99"/>
    </row>
    <row r="272" spans="1:11">
      <c r="A272" s="99" t="s">
        <v>4606</v>
      </c>
      <c r="B272" s="113">
        <v>-2400000</v>
      </c>
      <c r="C272" s="99">
        <v>3</v>
      </c>
      <c r="D272" s="99">
        <f t="shared" si="8"/>
        <v>274</v>
      </c>
      <c r="E272" s="99">
        <f t="shared" si="10"/>
        <v>1</v>
      </c>
      <c r="F272" s="99">
        <f t="shared" si="9"/>
        <v>-655200000</v>
      </c>
      <c r="G272" s="99"/>
    </row>
    <row r="273" spans="1:11">
      <c r="A273" s="99" t="s">
        <v>4616</v>
      </c>
      <c r="B273" s="113">
        <v>15000</v>
      </c>
      <c r="C273" s="99">
        <v>93</v>
      </c>
      <c r="D273" s="99">
        <f t="shared" si="8"/>
        <v>271</v>
      </c>
      <c r="E273" s="99">
        <f t="shared" si="10"/>
        <v>1</v>
      </c>
      <c r="F273" s="99">
        <f t="shared" si="9"/>
        <v>4050000</v>
      </c>
      <c r="G273" s="99"/>
    </row>
    <row r="274" spans="1:11">
      <c r="A274" s="99" t="s">
        <v>4911</v>
      </c>
      <c r="B274" s="113">
        <v>3500000</v>
      </c>
      <c r="C274" s="99">
        <v>0</v>
      </c>
      <c r="D274" s="99">
        <f t="shared" si="8"/>
        <v>178</v>
      </c>
      <c r="E274" s="99">
        <f t="shared" si="10"/>
        <v>0</v>
      </c>
      <c r="F274" s="99">
        <f t="shared" si="9"/>
        <v>623000000</v>
      </c>
      <c r="G274" s="99"/>
    </row>
    <row r="275" spans="1:11">
      <c r="A275" s="99" t="s">
        <v>4911</v>
      </c>
      <c r="B275" s="113">
        <v>-224012</v>
      </c>
      <c r="C275" s="99">
        <v>2</v>
      </c>
      <c r="D275" s="99">
        <f t="shared" si="8"/>
        <v>178</v>
      </c>
      <c r="E275" s="99">
        <f t="shared" si="10"/>
        <v>0</v>
      </c>
      <c r="F275" s="99">
        <f t="shared" si="9"/>
        <v>-39874136</v>
      </c>
      <c r="G275" s="99"/>
    </row>
    <row r="276" spans="1:11">
      <c r="A276" s="99" t="s">
        <v>4932</v>
      </c>
      <c r="B276" s="113">
        <v>-104671</v>
      </c>
      <c r="C276" s="99">
        <v>1</v>
      </c>
      <c r="D276" s="99">
        <f t="shared" ref="D276:D280" si="11">D277+C276</f>
        <v>176</v>
      </c>
      <c r="E276" s="99">
        <f t="shared" ref="E276:E280" si="12">IF(B277&gt;0,1,0)</f>
        <v>0</v>
      </c>
      <c r="F276" s="99">
        <f t="shared" si="9"/>
        <v>-18422096</v>
      </c>
      <c r="G276" s="99"/>
    </row>
    <row r="277" spans="1:11">
      <c r="A277" s="99" t="s">
        <v>4934</v>
      </c>
      <c r="B277" s="113">
        <v>-272000</v>
      </c>
      <c r="C277" s="99">
        <v>1</v>
      </c>
      <c r="D277" s="99">
        <f t="shared" si="11"/>
        <v>175</v>
      </c>
      <c r="E277" s="99">
        <f t="shared" si="12"/>
        <v>0</v>
      </c>
      <c r="F277" s="99">
        <f t="shared" si="9"/>
        <v>-47600000</v>
      </c>
      <c r="G277" s="99"/>
    </row>
    <row r="278" spans="1:11">
      <c r="A278" s="99" t="s">
        <v>4936</v>
      </c>
      <c r="B278" s="113">
        <v>-2565078</v>
      </c>
      <c r="C278" s="99">
        <v>2</v>
      </c>
      <c r="D278" s="99">
        <f t="shared" si="11"/>
        <v>174</v>
      </c>
      <c r="E278" s="99">
        <f t="shared" si="12"/>
        <v>0</v>
      </c>
      <c r="F278" s="99">
        <f t="shared" si="9"/>
        <v>-446323572</v>
      </c>
      <c r="G278" s="99"/>
    </row>
    <row r="279" spans="1:11">
      <c r="A279" s="99" t="s">
        <v>4883</v>
      </c>
      <c r="B279" s="113">
        <v>-213500</v>
      </c>
      <c r="C279" s="99">
        <v>1</v>
      </c>
      <c r="D279" s="99">
        <f t="shared" si="11"/>
        <v>172</v>
      </c>
      <c r="E279" s="99">
        <f t="shared" si="12"/>
        <v>0</v>
      </c>
      <c r="F279" s="99">
        <f t="shared" si="9"/>
        <v>-36722000</v>
      </c>
      <c r="G279" s="99"/>
    </row>
    <row r="280" spans="1:11">
      <c r="A280" s="99" t="s">
        <v>4953</v>
      </c>
      <c r="B280" s="113">
        <v>-3810</v>
      </c>
      <c r="C280" s="99">
        <v>1</v>
      </c>
      <c r="D280" s="99">
        <f t="shared" si="11"/>
        <v>171</v>
      </c>
      <c r="E280" s="99">
        <f t="shared" si="12"/>
        <v>0</v>
      </c>
      <c r="F280" s="99">
        <f t="shared" si="9"/>
        <v>-651510</v>
      </c>
      <c r="G280" s="99"/>
      <c r="J280" t="s">
        <v>25</v>
      </c>
    </row>
    <row r="281" spans="1:11">
      <c r="A281" s="99" t="s">
        <v>4954</v>
      </c>
      <c r="B281" s="113">
        <v>-120632</v>
      </c>
      <c r="C281" s="99">
        <v>1</v>
      </c>
      <c r="D281" s="99">
        <f t="shared" ref="D281:D288" si="13">D282+C281</f>
        <v>170</v>
      </c>
      <c r="E281" s="99">
        <f t="shared" ref="E281:E288" si="14">IF(B282&gt;0,1,0)</f>
        <v>1</v>
      </c>
      <c r="F281" s="99">
        <f t="shared" si="9"/>
        <v>-20386808</v>
      </c>
      <c r="G281" s="99"/>
      <c r="J281" t="s">
        <v>25</v>
      </c>
    </row>
    <row r="282" spans="1:11">
      <c r="A282" s="99" t="s">
        <v>4942</v>
      </c>
      <c r="B282" s="113">
        <v>80000</v>
      </c>
      <c r="C282" s="99">
        <v>0</v>
      </c>
      <c r="D282" s="99">
        <f t="shared" si="13"/>
        <v>169</v>
      </c>
      <c r="E282" s="99">
        <f t="shared" si="14"/>
        <v>0</v>
      </c>
      <c r="F282" s="99">
        <f t="shared" si="9"/>
        <v>13520000</v>
      </c>
      <c r="G282" s="99"/>
    </row>
    <row r="283" spans="1:11">
      <c r="A283" s="99" t="s">
        <v>4942</v>
      </c>
      <c r="B283" s="113">
        <v>-2500</v>
      </c>
      <c r="C283" s="99">
        <v>1</v>
      </c>
      <c r="D283" s="99">
        <f t="shared" si="13"/>
        <v>169</v>
      </c>
      <c r="E283" s="99">
        <f t="shared" si="14"/>
        <v>0</v>
      </c>
      <c r="F283" s="99">
        <f t="shared" si="9"/>
        <v>-422500</v>
      </c>
      <c r="G283" s="99"/>
      <c r="J283" s="114">
        <f>B359-498804</f>
        <v>-373803</v>
      </c>
    </row>
    <row r="284" spans="1:11">
      <c r="A284" s="99" t="s">
        <v>4947</v>
      </c>
      <c r="B284" s="113">
        <v>-30000</v>
      </c>
      <c r="C284" s="99">
        <v>1</v>
      </c>
      <c r="D284" s="99">
        <f t="shared" si="13"/>
        <v>168</v>
      </c>
      <c r="E284" s="99">
        <f t="shared" si="14"/>
        <v>0</v>
      </c>
      <c r="F284" s="99">
        <f t="shared" si="9"/>
        <v>-5040000</v>
      </c>
      <c r="G284" s="99"/>
    </row>
    <row r="285" spans="1:11">
      <c r="A285" s="99" t="s">
        <v>4955</v>
      </c>
      <c r="B285" s="113">
        <v>-19800</v>
      </c>
      <c r="C285" s="99">
        <v>1</v>
      </c>
      <c r="D285" s="99">
        <f t="shared" si="13"/>
        <v>167</v>
      </c>
      <c r="E285" s="99">
        <f t="shared" si="14"/>
        <v>1</v>
      </c>
      <c r="F285" s="99">
        <f t="shared" si="9"/>
        <v>-3286800</v>
      </c>
      <c r="G285" s="99"/>
      <c r="K285" t="s">
        <v>25</v>
      </c>
    </row>
    <row r="286" spans="1:11">
      <c r="A286" s="99" t="s">
        <v>4946</v>
      </c>
      <c r="B286" s="113">
        <v>940000</v>
      </c>
      <c r="C286" s="99">
        <v>0</v>
      </c>
      <c r="D286" s="99">
        <f t="shared" si="13"/>
        <v>166</v>
      </c>
      <c r="E286" s="99">
        <f t="shared" si="14"/>
        <v>0</v>
      </c>
      <c r="F286" s="99">
        <f t="shared" si="9"/>
        <v>156040000</v>
      </c>
      <c r="G286" s="99"/>
    </row>
    <row r="287" spans="1:11">
      <c r="A287" s="99" t="s">
        <v>4946</v>
      </c>
      <c r="B287" s="113">
        <v>-201000</v>
      </c>
      <c r="C287" s="99">
        <v>1</v>
      </c>
      <c r="D287" s="99">
        <f t="shared" si="13"/>
        <v>166</v>
      </c>
      <c r="E287" s="99">
        <f t="shared" si="14"/>
        <v>0</v>
      </c>
      <c r="F287" s="99">
        <f t="shared" si="9"/>
        <v>-33366000</v>
      </c>
      <c r="G287" s="99"/>
    </row>
    <row r="288" spans="1:11">
      <c r="A288" s="99" t="s">
        <v>4951</v>
      </c>
      <c r="B288" s="113">
        <v>-320930</v>
      </c>
      <c r="C288" s="99">
        <v>3</v>
      </c>
      <c r="D288" s="99">
        <f t="shared" si="13"/>
        <v>165</v>
      </c>
      <c r="E288" s="99">
        <f t="shared" si="14"/>
        <v>0</v>
      </c>
      <c r="F288" s="99">
        <f t="shared" si="9"/>
        <v>-52953450</v>
      </c>
      <c r="G288" s="99"/>
    </row>
    <row r="289" spans="1:10">
      <c r="A289" s="99" t="s">
        <v>4952</v>
      </c>
      <c r="B289" s="113">
        <v>-400000</v>
      </c>
      <c r="C289" s="99">
        <v>1</v>
      </c>
      <c r="D289" s="99">
        <f t="shared" ref="D289:D306" si="15">D290+C289</f>
        <v>162</v>
      </c>
      <c r="E289" s="99">
        <f t="shared" ref="E289:E306" si="16">IF(B290&gt;0,1,0)</f>
        <v>0</v>
      </c>
      <c r="F289" s="99">
        <f t="shared" si="9"/>
        <v>-64800000</v>
      </c>
      <c r="G289" s="99"/>
    </row>
    <row r="290" spans="1:10">
      <c r="A290" s="99" t="s">
        <v>4959</v>
      </c>
      <c r="B290" s="113">
        <v>-16500</v>
      </c>
      <c r="C290" s="99">
        <v>11</v>
      </c>
      <c r="D290" s="99">
        <f t="shared" si="15"/>
        <v>161</v>
      </c>
      <c r="E290" s="99">
        <f t="shared" si="16"/>
        <v>1</v>
      </c>
      <c r="F290" s="99">
        <f t="shared" si="9"/>
        <v>-2640000</v>
      </c>
      <c r="G290" s="99"/>
    </row>
    <row r="291" spans="1:10">
      <c r="A291" s="99" t="s">
        <v>4981</v>
      </c>
      <c r="B291" s="113">
        <v>2600000</v>
      </c>
      <c r="C291" s="99">
        <v>2</v>
      </c>
      <c r="D291" s="99">
        <f t="shared" si="15"/>
        <v>150</v>
      </c>
      <c r="E291" s="99">
        <f t="shared" si="16"/>
        <v>0</v>
      </c>
      <c r="F291" s="99">
        <f t="shared" si="9"/>
        <v>390000000</v>
      </c>
      <c r="G291" s="99"/>
      <c r="I291" t="s">
        <v>25</v>
      </c>
    </row>
    <row r="292" spans="1:10">
      <c r="A292" s="99" t="s">
        <v>4982</v>
      </c>
      <c r="B292" s="113">
        <v>-1170000</v>
      </c>
      <c r="C292" s="99">
        <v>0</v>
      </c>
      <c r="D292" s="99">
        <f t="shared" si="15"/>
        <v>148</v>
      </c>
      <c r="E292" s="99">
        <f t="shared" si="16"/>
        <v>0</v>
      </c>
      <c r="F292" s="99">
        <f t="shared" si="9"/>
        <v>-173160000</v>
      </c>
      <c r="G292" s="99" t="s">
        <v>4983</v>
      </c>
      <c r="J292" t="s">
        <v>25</v>
      </c>
    </row>
    <row r="293" spans="1:10">
      <c r="A293" s="99" t="s">
        <v>4982</v>
      </c>
      <c r="B293" s="113">
        <v>-9000</v>
      </c>
      <c r="C293" s="99">
        <v>1</v>
      </c>
      <c r="D293" s="99">
        <f t="shared" si="15"/>
        <v>148</v>
      </c>
      <c r="E293" s="99">
        <f t="shared" si="16"/>
        <v>0</v>
      </c>
      <c r="F293" s="99">
        <f t="shared" si="9"/>
        <v>-1332000</v>
      </c>
      <c r="G293" s="99"/>
    </row>
    <row r="294" spans="1:10">
      <c r="A294" s="99" t="s">
        <v>4984</v>
      </c>
      <c r="B294" s="113">
        <v>-1145000</v>
      </c>
      <c r="C294" s="99">
        <v>0</v>
      </c>
      <c r="D294" s="99">
        <f t="shared" si="15"/>
        <v>147</v>
      </c>
      <c r="E294" s="99">
        <f t="shared" si="16"/>
        <v>0</v>
      </c>
      <c r="F294" s="99">
        <f t="shared" si="9"/>
        <v>-168315000</v>
      </c>
      <c r="G294" s="99" t="s">
        <v>4985</v>
      </c>
    </row>
    <row r="295" spans="1:10">
      <c r="A295" s="99" t="s">
        <v>4984</v>
      </c>
      <c r="B295" s="113">
        <v>-94549</v>
      </c>
      <c r="C295" s="99">
        <v>2</v>
      </c>
      <c r="D295" s="99">
        <f t="shared" si="15"/>
        <v>147</v>
      </c>
      <c r="E295" s="99">
        <f t="shared" si="16"/>
        <v>0</v>
      </c>
      <c r="F295" s="99">
        <f t="shared" si="9"/>
        <v>-13898703</v>
      </c>
      <c r="G295" s="99" t="s">
        <v>506</v>
      </c>
      <c r="J295" t="s">
        <v>25</v>
      </c>
    </row>
    <row r="296" spans="1:10">
      <c r="A296" s="99" t="s">
        <v>5183</v>
      </c>
      <c r="B296" s="113">
        <v>-3500</v>
      </c>
      <c r="C296" s="99">
        <v>1</v>
      </c>
      <c r="D296" s="99">
        <f t="shared" si="15"/>
        <v>145</v>
      </c>
      <c r="E296" s="99">
        <f t="shared" si="16"/>
        <v>0</v>
      </c>
      <c r="F296" s="99">
        <f t="shared" si="9"/>
        <v>-507500</v>
      </c>
      <c r="G296" s="99"/>
      <c r="I296" s="114">
        <f>B359-735892</f>
        <v>-610891</v>
      </c>
    </row>
    <row r="297" spans="1:10">
      <c r="A297" s="99" t="s">
        <v>4993</v>
      </c>
      <c r="B297" s="113">
        <v>-44900</v>
      </c>
      <c r="C297" s="99">
        <v>0</v>
      </c>
      <c r="D297" s="99">
        <f t="shared" si="15"/>
        <v>144</v>
      </c>
      <c r="E297" s="99">
        <f t="shared" si="16"/>
        <v>0</v>
      </c>
      <c r="F297" s="99">
        <f t="shared" si="9"/>
        <v>-6465600</v>
      </c>
      <c r="G297" s="99"/>
    </row>
    <row r="298" spans="1:10">
      <c r="A298" s="99" t="s">
        <v>4993</v>
      </c>
      <c r="B298" s="113">
        <v>-50000</v>
      </c>
      <c r="C298" s="99">
        <v>10</v>
      </c>
      <c r="D298" s="99">
        <f t="shared" si="15"/>
        <v>144</v>
      </c>
      <c r="E298" s="99">
        <f t="shared" si="16"/>
        <v>0</v>
      </c>
      <c r="F298" s="99">
        <f t="shared" si="9"/>
        <v>-7200000</v>
      </c>
      <c r="G298" s="99" t="s">
        <v>506</v>
      </c>
    </row>
    <row r="299" spans="1:10">
      <c r="A299" s="99" t="s">
        <v>5013</v>
      </c>
      <c r="B299" s="113">
        <v>-19850</v>
      </c>
      <c r="C299" s="99">
        <v>1</v>
      </c>
      <c r="D299" s="99">
        <f t="shared" si="15"/>
        <v>134</v>
      </c>
      <c r="E299" s="99">
        <f t="shared" si="16"/>
        <v>0</v>
      </c>
      <c r="F299" s="99">
        <f t="shared" si="9"/>
        <v>-2659900</v>
      </c>
      <c r="G299" s="99"/>
    </row>
    <row r="300" spans="1:10">
      <c r="A300" s="99" t="s">
        <v>5014</v>
      </c>
      <c r="B300" s="113">
        <v>-39770</v>
      </c>
      <c r="C300" s="99">
        <v>6</v>
      </c>
      <c r="D300" s="99">
        <f t="shared" si="15"/>
        <v>133</v>
      </c>
      <c r="E300" s="99">
        <f t="shared" si="16"/>
        <v>0</v>
      </c>
      <c r="F300" s="99">
        <f t="shared" si="9"/>
        <v>-5289410</v>
      </c>
      <c r="G300" s="99"/>
    </row>
    <row r="301" spans="1:10">
      <c r="A301" s="99" t="s">
        <v>5038</v>
      </c>
      <c r="B301" s="113">
        <v>-40000</v>
      </c>
      <c r="C301" s="99">
        <v>71</v>
      </c>
      <c r="D301" s="99">
        <f t="shared" si="15"/>
        <v>127</v>
      </c>
      <c r="E301" s="99">
        <f t="shared" si="16"/>
        <v>1</v>
      </c>
      <c r="F301" s="99">
        <f t="shared" si="9"/>
        <v>-5040000</v>
      </c>
      <c r="G301" s="99"/>
    </row>
    <row r="302" spans="1:10">
      <c r="A302" s="99" t="s">
        <v>5168</v>
      </c>
      <c r="B302" s="113">
        <v>4000000</v>
      </c>
      <c r="C302" s="99">
        <v>1</v>
      </c>
      <c r="D302" s="99">
        <f t="shared" si="15"/>
        <v>56</v>
      </c>
      <c r="E302" s="99">
        <f t="shared" si="16"/>
        <v>0</v>
      </c>
      <c r="F302" s="99">
        <f t="shared" si="9"/>
        <v>224000000</v>
      </c>
      <c r="G302" s="99"/>
    </row>
    <row r="303" spans="1:10">
      <c r="A303" s="99" t="s">
        <v>5173</v>
      </c>
      <c r="B303" s="113">
        <v>-123860</v>
      </c>
      <c r="C303" s="99">
        <v>1</v>
      </c>
      <c r="D303" s="99">
        <f t="shared" si="15"/>
        <v>55</v>
      </c>
      <c r="E303" s="99">
        <f t="shared" si="16"/>
        <v>0</v>
      </c>
      <c r="F303" s="99">
        <f t="shared" si="9"/>
        <v>-6812300</v>
      </c>
      <c r="G303" s="99"/>
    </row>
    <row r="304" spans="1:10">
      <c r="A304" s="99" t="s">
        <v>5130</v>
      </c>
      <c r="B304" s="113">
        <v>-1660000</v>
      </c>
      <c r="C304" s="99">
        <v>1</v>
      </c>
      <c r="D304" s="99">
        <f t="shared" si="15"/>
        <v>54</v>
      </c>
      <c r="E304" s="99">
        <f t="shared" si="16"/>
        <v>0</v>
      </c>
      <c r="F304" s="99">
        <f t="shared" si="9"/>
        <v>-89640000</v>
      </c>
      <c r="G304" s="99"/>
    </row>
    <row r="305" spans="1:11">
      <c r="A305" s="99" t="s">
        <v>5181</v>
      </c>
      <c r="B305" s="113">
        <v>-63857</v>
      </c>
      <c r="C305" s="99">
        <v>0</v>
      </c>
      <c r="D305" s="99">
        <f t="shared" si="15"/>
        <v>53</v>
      </c>
      <c r="E305" s="99">
        <f t="shared" si="16"/>
        <v>0</v>
      </c>
      <c r="F305" s="99">
        <f t="shared" si="9"/>
        <v>-3384421</v>
      </c>
      <c r="G305" s="99"/>
    </row>
    <row r="306" spans="1:11">
      <c r="A306" s="99" t="s">
        <v>5184</v>
      </c>
      <c r="B306" s="113">
        <v>-631</v>
      </c>
      <c r="C306" s="99">
        <v>2</v>
      </c>
      <c r="D306" s="99">
        <f t="shared" si="15"/>
        <v>53</v>
      </c>
      <c r="E306" s="99">
        <f t="shared" si="16"/>
        <v>0</v>
      </c>
      <c r="F306" s="99">
        <f t="shared" si="9"/>
        <v>-33443</v>
      </c>
      <c r="G306" s="99" t="s">
        <v>506</v>
      </c>
      <c r="J306" t="s">
        <v>25</v>
      </c>
    </row>
    <row r="307" spans="1:11">
      <c r="A307" s="99" t="s">
        <v>5189</v>
      </c>
      <c r="B307" s="113">
        <v>-248905</v>
      </c>
      <c r="C307" s="99">
        <v>2</v>
      </c>
      <c r="D307" s="99">
        <f t="shared" ref="D307:D318" si="17">D308+C307</f>
        <v>51</v>
      </c>
      <c r="E307" s="99">
        <f t="shared" ref="E307:E318" si="18">IF(B308&gt;0,1,0)</f>
        <v>0</v>
      </c>
      <c r="F307" s="99">
        <f t="shared" si="9"/>
        <v>-12694155</v>
      </c>
      <c r="G307" s="99"/>
    </row>
    <row r="308" spans="1:11">
      <c r="A308" s="99" t="s">
        <v>5187</v>
      </c>
      <c r="B308" s="113">
        <v>-200000</v>
      </c>
      <c r="C308" s="99">
        <v>0</v>
      </c>
      <c r="D308" s="99">
        <f t="shared" si="17"/>
        <v>49</v>
      </c>
      <c r="E308" s="99">
        <f t="shared" si="18"/>
        <v>0</v>
      </c>
      <c r="F308" s="99">
        <f t="shared" si="9"/>
        <v>-9800000</v>
      </c>
      <c r="G308" s="99"/>
    </row>
    <row r="309" spans="1:11">
      <c r="A309" s="99" t="s">
        <v>5187</v>
      </c>
      <c r="B309" s="113">
        <v>-200000</v>
      </c>
      <c r="C309" s="99">
        <v>3</v>
      </c>
      <c r="D309" s="99">
        <f t="shared" si="17"/>
        <v>49</v>
      </c>
      <c r="E309" s="99">
        <f t="shared" si="18"/>
        <v>0</v>
      </c>
      <c r="F309" s="99">
        <f t="shared" si="9"/>
        <v>-9800000</v>
      </c>
      <c r="G309" s="99"/>
    </row>
    <row r="310" spans="1:11">
      <c r="A310" s="99" t="s">
        <v>5196</v>
      </c>
      <c r="B310" s="113">
        <v>-832590</v>
      </c>
      <c r="C310" s="99">
        <v>0</v>
      </c>
      <c r="D310" s="99">
        <f t="shared" si="17"/>
        <v>46</v>
      </c>
      <c r="E310" s="99">
        <f t="shared" si="18"/>
        <v>0</v>
      </c>
      <c r="F310" s="99">
        <f t="shared" si="9"/>
        <v>-38299140</v>
      </c>
      <c r="G310" s="99"/>
    </row>
    <row r="311" spans="1:11">
      <c r="A311" s="99" t="s">
        <v>5196</v>
      </c>
      <c r="B311" s="113">
        <v>-29950</v>
      </c>
      <c r="C311" s="99">
        <v>1</v>
      </c>
      <c r="D311" s="99">
        <f t="shared" si="17"/>
        <v>46</v>
      </c>
      <c r="E311" s="99">
        <f t="shared" si="18"/>
        <v>0</v>
      </c>
      <c r="F311" s="99">
        <f t="shared" si="9"/>
        <v>-1377700</v>
      </c>
      <c r="G311" s="99"/>
      <c r="K311" t="s">
        <v>25</v>
      </c>
    </row>
    <row r="312" spans="1:11">
      <c r="A312" s="99" t="s">
        <v>5254</v>
      </c>
      <c r="B312" s="113">
        <v>-8500</v>
      </c>
      <c r="C312" s="99">
        <v>1</v>
      </c>
      <c r="D312" s="99">
        <f t="shared" si="17"/>
        <v>45</v>
      </c>
      <c r="E312" s="99">
        <f t="shared" si="18"/>
        <v>0</v>
      </c>
      <c r="F312" s="99">
        <f t="shared" si="9"/>
        <v>-382500</v>
      </c>
      <c r="G312" s="99"/>
    </row>
    <row r="313" spans="1:11">
      <c r="A313" s="99" t="s">
        <v>5218</v>
      </c>
      <c r="B313" s="113">
        <v>-116300</v>
      </c>
      <c r="C313" s="99">
        <v>1</v>
      </c>
      <c r="D313" s="99">
        <f t="shared" si="17"/>
        <v>44</v>
      </c>
      <c r="E313" s="99">
        <f t="shared" si="18"/>
        <v>0</v>
      </c>
      <c r="F313" s="99">
        <f t="shared" si="9"/>
        <v>-5117200</v>
      </c>
      <c r="G313" s="99"/>
    </row>
    <row r="314" spans="1:11">
      <c r="A314" s="99" t="s">
        <v>5201</v>
      </c>
      <c r="B314" s="113">
        <v>-75500</v>
      </c>
      <c r="C314" s="99">
        <v>1</v>
      </c>
      <c r="D314" s="99">
        <f t="shared" si="17"/>
        <v>43</v>
      </c>
      <c r="E314" s="99">
        <f t="shared" si="18"/>
        <v>0</v>
      </c>
      <c r="F314" s="99">
        <f t="shared" ref="F314:F331" si="19">B314*(D314-E314)</f>
        <v>-3246500</v>
      </c>
      <c r="G314" s="99"/>
    </row>
    <row r="315" spans="1:11">
      <c r="A315" s="99" t="s">
        <v>5212</v>
      </c>
      <c r="B315" s="113">
        <v>-331250</v>
      </c>
      <c r="C315" s="99">
        <v>2</v>
      </c>
      <c r="D315" s="99">
        <f t="shared" si="17"/>
        <v>42</v>
      </c>
      <c r="E315" s="99">
        <f t="shared" si="18"/>
        <v>0</v>
      </c>
      <c r="F315" s="99">
        <f t="shared" si="19"/>
        <v>-13912500</v>
      </c>
      <c r="G315" s="99"/>
    </row>
    <row r="316" spans="1:11">
      <c r="A316" s="99" t="s">
        <v>5255</v>
      </c>
      <c r="B316" s="113">
        <v>-39000</v>
      </c>
      <c r="C316" s="99">
        <v>1</v>
      </c>
      <c r="D316" s="99">
        <f t="shared" si="17"/>
        <v>40</v>
      </c>
      <c r="E316" s="99">
        <f t="shared" si="18"/>
        <v>0</v>
      </c>
      <c r="F316" s="99">
        <f t="shared" si="19"/>
        <v>-1560000</v>
      </c>
      <c r="G316" s="99"/>
      <c r="I316" s="114"/>
    </row>
    <row r="317" spans="1:11">
      <c r="A317" s="99" t="s">
        <v>5214</v>
      </c>
      <c r="B317" s="113">
        <v>-44000</v>
      </c>
      <c r="C317" s="99">
        <v>3</v>
      </c>
      <c r="D317" s="99">
        <f t="shared" si="17"/>
        <v>39</v>
      </c>
      <c r="E317" s="99">
        <f t="shared" si="18"/>
        <v>0</v>
      </c>
      <c r="F317" s="99">
        <f t="shared" si="19"/>
        <v>-1716000</v>
      </c>
      <c r="G317" s="99"/>
      <c r="J317" t="s">
        <v>25</v>
      </c>
    </row>
    <row r="318" spans="1:11">
      <c r="A318" s="99" t="s">
        <v>5148</v>
      </c>
      <c r="B318" s="113">
        <v>-30476</v>
      </c>
      <c r="C318" s="99">
        <v>1</v>
      </c>
      <c r="D318" s="99">
        <f t="shared" si="17"/>
        <v>36</v>
      </c>
      <c r="E318" s="99">
        <f t="shared" si="18"/>
        <v>0</v>
      </c>
      <c r="F318" s="99">
        <f t="shared" si="19"/>
        <v>-1097136</v>
      </c>
      <c r="G318" s="99"/>
    </row>
    <row r="319" spans="1:11">
      <c r="A319" s="99" t="s">
        <v>5223</v>
      </c>
      <c r="B319" s="113">
        <v>-4000</v>
      </c>
      <c r="C319" s="99">
        <v>11</v>
      </c>
      <c r="D319" s="99">
        <f t="shared" ref="D319:D326" si="20">D320+C319</f>
        <v>35</v>
      </c>
      <c r="E319" s="99">
        <f t="shared" ref="E319:E326" si="21">IF(B320&gt;0,1,0)</f>
        <v>1</v>
      </c>
      <c r="F319" s="99">
        <f t="shared" si="19"/>
        <v>-136000</v>
      </c>
      <c r="G319" s="99"/>
    </row>
    <row r="320" spans="1:11">
      <c r="A320" s="99" t="s">
        <v>5256</v>
      </c>
      <c r="B320" s="113">
        <v>6300000</v>
      </c>
      <c r="C320" s="99">
        <v>1</v>
      </c>
      <c r="D320" s="99">
        <f t="shared" si="20"/>
        <v>24</v>
      </c>
      <c r="E320" s="99">
        <f t="shared" si="21"/>
        <v>0</v>
      </c>
      <c r="F320" s="99">
        <f t="shared" si="19"/>
        <v>151200000</v>
      </c>
      <c r="G320" s="99"/>
    </row>
    <row r="321" spans="1:9">
      <c r="A321" s="99" t="s">
        <v>5285</v>
      </c>
      <c r="B321" s="113">
        <v>-6000000</v>
      </c>
      <c r="C321" s="99">
        <v>2</v>
      </c>
      <c r="D321" s="99">
        <f t="shared" si="20"/>
        <v>23</v>
      </c>
      <c r="E321" s="99">
        <f t="shared" si="21"/>
        <v>0</v>
      </c>
      <c r="F321" s="99">
        <f t="shared" si="19"/>
        <v>-138000000</v>
      </c>
      <c r="G321" s="99"/>
    </row>
    <row r="322" spans="1:9">
      <c r="A322" s="99" t="s">
        <v>5281</v>
      </c>
      <c r="B322" s="113">
        <v>-295000</v>
      </c>
      <c r="C322" s="99">
        <v>0</v>
      </c>
      <c r="D322" s="99">
        <f t="shared" si="20"/>
        <v>21</v>
      </c>
      <c r="E322" s="99">
        <f t="shared" si="21"/>
        <v>1</v>
      </c>
      <c r="F322" s="99">
        <f t="shared" si="19"/>
        <v>-5900000</v>
      </c>
      <c r="G322" s="99"/>
    </row>
    <row r="323" spans="1:9">
      <c r="A323" s="99" t="s">
        <v>5281</v>
      </c>
      <c r="B323" s="113">
        <v>483</v>
      </c>
      <c r="C323" s="99">
        <v>8</v>
      </c>
      <c r="D323" s="99">
        <f t="shared" si="20"/>
        <v>21</v>
      </c>
      <c r="E323" s="99">
        <f t="shared" si="21"/>
        <v>1</v>
      </c>
      <c r="F323" s="99">
        <f t="shared" si="19"/>
        <v>9660</v>
      </c>
      <c r="G323" s="99" t="s">
        <v>695</v>
      </c>
      <c r="I323" t="s">
        <v>25</v>
      </c>
    </row>
    <row r="324" spans="1:9">
      <c r="A324" s="99" t="s">
        <v>5313</v>
      </c>
      <c r="B324" s="113">
        <v>1700000</v>
      </c>
      <c r="C324" s="99">
        <v>0</v>
      </c>
      <c r="D324" s="99">
        <f t="shared" si="20"/>
        <v>13</v>
      </c>
      <c r="E324" s="99">
        <f t="shared" si="21"/>
        <v>0</v>
      </c>
      <c r="F324" s="99">
        <f t="shared" si="19"/>
        <v>22100000</v>
      </c>
      <c r="G324" s="99"/>
    </row>
    <row r="325" spans="1:9">
      <c r="A325" s="99" t="s">
        <v>5313</v>
      </c>
      <c r="B325" s="113">
        <v>-53000</v>
      </c>
      <c r="C325" s="99">
        <v>1</v>
      </c>
      <c r="D325" s="99">
        <f t="shared" si="20"/>
        <v>13</v>
      </c>
      <c r="E325" s="99">
        <f t="shared" si="21"/>
        <v>0</v>
      </c>
      <c r="F325" s="99">
        <f t="shared" si="19"/>
        <v>-689000</v>
      </c>
      <c r="G325" s="99"/>
    </row>
    <row r="326" spans="1:9">
      <c r="A326" s="99" t="s">
        <v>5314</v>
      </c>
      <c r="B326" s="113">
        <v>-1300000</v>
      </c>
      <c r="C326" s="99">
        <v>0</v>
      </c>
      <c r="D326" s="99">
        <f t="shared" si="20"/>
        <v>12</v>
      </c>
      <c r="E326" s="99">
        <f t="shared" si="21"/>
        <v>0</v>
      </c>
      <c r="F326" s="99">
        <f t="shared" si="19"/>
        <v>-15600000</v>
      </c>
      <c r="G326" s="99"/>
      <c r="I326" t="s">
        <v>25</v>
      </c>
    </row>
    <row r="327" spans="1:9">
      <c r="A327" s="99" t="s">
        <v>5314</v>
      </c>
      <c r="B327" s="113">
        <v>-41500</v>
      </c>
      <c r="C327" s="99">
        <v>1</v>
      </c>
      <c r="D327" s="99">
        <f t="shared" ref="D327:D331" si="22">D328+C327</f>
        <v>12</v>
      </c>
      <c r="E327" s="99">
        <f t="shared" ref="E327:E331" si="23">IF(B328&gt;0,1,0)</f>
        <v>0</v>
      </c>
      <c r="F327" s="99">
        <f t="shared" si="19"/>
        <v>-498000</v>
      </c>
      <c r="G327" s="99"/>
    </row>
    <row r="328" spans="1:9">
      <c r="A328" s="99" t="s">
        <v>5321</v>
      </c>
      <c r="B328" s="113">
        <v>-57700</v>
      </c>
      <c r="C328" s="99">
        <v>3</v>
      </c>
      <c r="D328" s="99">
        <f t="shared" si="22"/>
        <v>11</v>
      </c>
      <c r="E328" s="99">
        <f t="shared" si="23"/>
        <v>0</v>
      </c>
      <c r="F328" s="99">
        <f t="shared" si="19"/>
        <v>-634700</v>
      </c>
      <c r="G328" s="99"/>
    </row>
    <row r="329" spans="1:9">
      <c r="A329" s="99" t="s">
        <v>5326</v>
      </c>
      <c r="B329" s="113">
        <v>-5600</v>
      </c>
      <c r="C329" s="99">
        <v>1</v>
      </c>
      <c r="D329" s="99">
        <f t="shared" si="22"/>
        <v>8</v>
      </c>
      <c r="E329" s="99">
        <f t="shared" si="23"/>
        <v>0</v>
      </c>
      <c r="F329" s="99">
        <f t="shared" si="19"/>
        <v>-44800</v>
      </c>
      <c r="G329" s="99"/>
    </row>
    <row r="330" spans="1:9">
      <c r="A330" s="99" t="s">
        <v>5328</v>
      </c>
      <c r="B330" s="113">
        <v>-5600</v>
      </c>
      <c r="C330" s="99">
        <v>1</v>
      </c>
      <c r="D330" s="99">
        <f t="shared" si="22"/>
        <v>7</v>
      </c>
      <c r="E330" s="99">
        <f t="shared" si="23"/>
        <v>0</v>
      </c>
      <c r="F330" s="99">
        <f t="shared" si="19"/>
        <v>-39200</v>
      </c>
      <c r="G330" s="99"/>
    </row>
    <row r="331" spans="1:9">
      <c r="A331" s="99" t="s">
        <v>991</v>
      </c>
      <c r="B331" s="113">
        <v>-68100</v>
      </c>
      <c r="C331" s="99">
        <v>1</v>
      </c>
      <c r="D331" s="99">
        <f t="shared" si="22"/>
        <v>6</v>
      </c>
      <c r="E331" s="99">
        <f t="shared" si="23"/>
        <v>0</v>
      </c>
      <c r="F331" s="99">
        <f t="shared" si="19"/>
        <v>-408600</v>
      </c>
      <c r="G331" s="99"/>
      <c r="I331" t="s">
        <v>25</v>
      </c>
    </row>
    <row r="332" spans="1:9">
      <c r="A332" s="99" t="s">
        <v>4273</v>
      </c>
      <c r="B332" s="113">
        <v>-25390</v>
      </c>
      <c r="C332" s="99">
        <v>2</v>
      </c>
      <c r="D332" s="99">
        <f t="shared" ref="D332:D333" si="24">D333+C332</f>
        <v>5</v>
      </c>
      <c r="E332" s="99">
        <f t="shared" ref="E332:E333" si="25">IF(B333&gt;0,1,0)</f>
        <v>0</v>
      </c>
      <c r="F332" s="99">
        <f t="shared" ref="F332:F333" si="26">B332*(D332-E332)</f>
        <v>-126950</v>
      </c>
      <c r="G332" s="99"/>
    </row>
    <row r="333" spans="1:9">
      <c r="A333" s="99" t="s">
        <v>5354</v>
      </c>
      <c r="B333" s="113">
        <v>-78508</v>
      </c>
      <c r="C333" s="99">
        <v>2</v>
      </c>
      <c r="D333" s="99">
        <f t="shared" si="24"/>
        <v>3</v>
      </c>
      <c r="E333" s="99">
        <f t="shared" si="25"/>
        <v>0</v>
      </c>
      <c r="F333" s="99">
        <f t="shared" si="26"/>
        <v>-235524</v>
      </c>
      <c r="G333" s="99"/>
    </row>
    <row r="334" spans="1:9">
      <c r="A334" s="99" t="s">
        <v>5355</v>
      </c>
      <c r="B334" s="113">
        <v>-2000</v>
      </c>
      <c r="C334" s="99">
        <v>1</v>
      </c>
      <c r="D334" s="99">
        <f t="shared" ref="D334:D357" si="27">D335+C334</f>
        <v>1</v>
      </c>
      <c r="E334" s="99">
        <f t="shared" ref="E334:E357" si="28">IF(B335&gt;0,1,0)</f>
        <v>0</v>
      </c>
      <c r="F334" s="99">
        <f t="shared" ref="F334:F357" si="29">B334*(D334-E334)</f>
        <v>-2000</v>
      </c>
      <c r="G334" s="99"/>
    </row>
    <row r="335" spans="1:9">
      <c r="A335" s="99"/>
      <c r="B335" s="113"/>
      <c r="C335" s="99"/>
      <c r="D335" s="99">
        <f t="shared" si="27"/>
        <v>0</v>
      </c>
      <c r="E335" s="99">
        <f t="shared" si="28"/>
        <v>0</v>
      </c>
      <c r="F335" s="99">
        <f t="shared" si="29"/>
        <v>0</v>
      </c>
      <c r="G335" s="99"/>
      <c r="H335" t="s">
        <v>25</v>
      </c>
    </row>
    <row r="336" spans="1:9">
      <c r="A336" s="99"/>
      <c r="B336" s="113"/>
      <c r="C336" s="99"/>
      <c r="D336" s="99">
        <f t="shared" si="27"/>
        <v>0</v>
      </c>
      <c r="E336" s="99">
        <f t="shared" si="28"/>
        <v>0</v>
      </c>
      <c r="F336" s="99">
        <f t="shared" si="29"/>
        <v>0</v>
      </c>
      <c r="G336" s="99"/>
    </row>
    <row r="337" spans="1:13">
      <c r="A337" s="99"/>
      <c r="B337" s="113"/>
      <c r="C337" s="99"/>
      <c r="D337" s="99">
        <f t="shared" si="27"/>
        <v>0</v>
      </c>
      <c r="E337" s="99">
        <f t="shared" si="28"/>
        <v>0</v>
      </c>
      <c r="F337" s="99">
        <f t="shared" si="29"/>
        <v>0</v>
      </c>
      <c r="G337" s="99"/>
    </row>
    <row r="338" spans="1:13">
      <c r="A338" s="99"/>
      <c r="B338" s="113"/>
      <c r="C338" s="99"/>
      <c r="D338" s="99">
        <f t="shared" si="27"/>
        <v>0</v>
      </c>
      <c r="E338" s="99">
        <f t="shared" si="28"/>
        <v>0</v>
      </c>
      <c r="F338" s="99">
        <f t="shared" si="29"/>
        <v>0</v>
      </c>
      <c r="G338" s="99"/>
    </row>
    <row r="339" spans="1:13">
      <c r="A339" s="99"/>
      <c r="B339" s="113"/>
      <c r="C339" s="99"/>
      <c r="D339" s="99">
        <f t="shared" si="27"/>
        <v>0</v>
      </c>
      <c r="E339" s="99">
        <f t="shared" si="28"/>
        <v>0</v>
      </c>
      <c r="F339" s="99">
        <f t="shared" si="29"/>
        <v>0</v>
      </c>
      <c r="G339" s="99"/>
    </row>
    <row r="340" spans="1:13">
      <c r="A340" s="99"/>
      <c r="B340" s="113"/>
      <c r="C340" s="99"/>
      <c r="D340" s="99">
        <f t="shared" si="27"/>
        <v>0</v>
      </c>
      <c r="E340" s="99">
        <f t="shared" si="28"/>
        <v>0</v>
      </c>
      <c r="F340" s="99">
        <f t="shared" si="29"/>
        <v>0</v>
      </c>
      <c r="G340" s="99"/>
      <c r="J340" t="s">
        <v>25</v>
      </c>
    </row>
    <row r="341" spans="1:13">
      <c r="A341" s="99"/>
      <c r="B341" s="113"/>
      <c r="C341" s="99"/>
      <c r="D341" s="99">
        <f t="shared" si="27"/>
        <v>0</v>
      </c>
      <c r="E341" s="99">
        <f t="shared" si="28"/>
        <v>0</v>
      </c>
      <c r="F341" s="99">
        <f t="shared" si="29"/>
        <v>0</v>
      </c>
      <c r="G341" s="99"/>
    </row>
    <row r="342" spans="1:13">
      <c r="A342" s="99"/>
      <c r="B342" s="113"/>
      <c r="C342" s="99"/>
      <c r="D342" s="99">
        <f t="shared" si="27"/>
        <v>0</v>
      </c>
      <c r="E342" s="99">
        <f t="shared" si="28"/>
        <v>0</v>
      </c>
      <c r="F342" s="99">
        <f t="shared" si="29"/>
        <v>0</v>
      </c>
      <c r="G342" s="99"/>
    </row>
    <row r="343" spans="1:13">
      <c r="A343" s="99"/>
      <c r="B343" s="113"/>
      <c r="C343" s="99"/>
      <c r="D343" s="99">
        <f t="shared" si="27"/>
        <v>0</v>
      </c>
      <c r="E343" s="99">
        <f t="shared" si="28"/>
        <v>0</v>
      </c>
      <c r="F343" s="99">
        <f t="shared" si="29"/>
        <v>0</v>
      </c>
      <c r="G343" s="99"/>
    </row>
    <row r="344" spans="1:13">
      <c r="A344" s="99"/>
      <c r="B344" s="113"/>
      <c r="C344" s="99"/>
      <c r="D344" s="99">
        <f t="shared" si="27"/>
        <v>0</v>
      </c>
      <c r="E344" s="99">
        <f t="shared" si="28"/>
        <v>0</v>
      </c>
      <c r="F344" s="99">
        <f t="shared" si="29"/>
        <v>0</v>
      </c>
      <c r="G344" s="99"/>
      <c r="M344" t="s">
        <v>25</v>
      </c>
    </row>
    <row r="345" spans="1:13">
      <c r="A345" s="99"/>
      <c r="B345" s="113"/>
      <c r="C345" s="99"/>
      <c r="D345" s="99">
        <f t="shared" si="27"/>
        <v>0</v>
      </c>
      <c r="E345" s="99">
        <f t="shared" si="28"/>
        <v>0</v>
      </c>
      <c r="F345" s="99">
        <f t="shared" si="29"/>
        <v>0</v>
      </c>
      <c r="G345" s="99"/>
      <c r="K345" t="s">
        <v>25</v>
      </c>
    </row>
    <row r="346" spans="1:13">
      <c r="A346" s="99"/>
      <c r="B346" s="113"/>
      <c r="C346" s="99"/>
      <c r="D346" s="99">
        <f t="shared" si="27"/>
        <v>0</v>
      </c>
      <c r="E346" s="99">
        <f t="shared" si="28"/>
        <v>0</v>
      </c>
      <c r="F346" s="99">
        <f t="shared" si="29"/>
        <v>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125001</v>
      </c>
      <c r="C359" s="11"/>
      <c r="D359" s="11"/>
      <c r="E359" s="11"/>
      <c r="F359" s="29">
        <f>SUM(F2:F357)</f>
        <v>18955543924</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15348618.561943321</v>
      </c>
      <c r="G362" s="11"/>
    </row>
    <row r="363" spans="1:7">
      <c r="A363" s="11"/>
      <c r="B363" s="11"/>
      <c r="C363" s="11"/>
      <c r="D363" s="11"/>
      <c r="E363" s="11"/>
      <c r="F363" s="11" t="s">
        <v>286</v>
      </c>
      <c r="G363" s="11"/>
    </row>
    <row r="366" spans="1:7">
      <c r="B366" s="114">
        <f>B359-62399</f>
        <v>62602</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4729</v>
      </c>
      <c r="L15">
        <v>451474</v>
      </c>
      <c r="M15" s="245" t="s">
        <v>4886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5150</v>
      </c>
      <c r="L33" t="s">
        <v>5151</v>
      </c>
      <c r="M33" t="s">
        <v>5152</v>
      </c>
      <c r="N33" t="s">
        <v>5153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5155</v>
      </c>
      <c r="M34" t="s">
        <v>5156</v>
      </c>
      <c r="N34" t="s">
        <v>5154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4559</v>
      </c>
      <c r="B192" s="38">
        <v>100000</v>
      </c>
      <c r="C192" s="73" t="s">
        <v>3889</v>
      </c>
      <c r="D192" s="99">
        <v>87</v>
      </c>
      <c r="E192" s="99">
        <f t="shared" si="9"/>
        <v>88</v>
      </c>
      <c r="F192" s="99">
        <f t="shared" si="5"/>
        <v>1</v>
      </c>
      <c r="G192" s="99">
        <f t="shared" si="4"/>
        <v>8700000</v>
      </c>
    </row>
    <row r="193" spans="1:7">
      <c r="A193" s="11" t="s">
        <v>4841</v>
      </c>
      <c r="B193" s="38">
        <v>-25000</v>
      </c>
      <c r="C193" s="11" t="s">
        <v>4848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1"/>
  <sheetViews>
    <sheetView tabSelected="1" topLeftCell="J40" zoomScale="90" zoomScaleNormal="90" workbookViewId="0">
      <selection activeCell="L46" sqref="L4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5143</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4010773</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ایلیا'!B359</f>
        <v>125001</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f>O21+663</f>
        <v>1634526</v>
      </c>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217</v>
      </c>
      <c r="O20" s="99" t="s">
        <v>936</v>
      </c>
      <c r="P20" s="99" t="s">
        <v>3927</v>
      </c>
      <c r="Q20" s="169">
        <v>9268987</v>
      </c>
      <c r="R20" s="168" t="s">
        <v>4168</v>
      </c>
      <c r="S20" s="191">
        <f>S118</f>
        <v>386</v>
      </c>
      <c r="T20" s="168" t="s">
        <v>4301</v>
      </c>
      <c r="U20" s="168">
        <v>192.1</v>
      </c>
      <c r="V20" s="168">
        <f t="shared" ref="V20:V51" si="6">U20*(1+$R$114+$Q$15*S20/36500)</f>
        <v>251.90257205479452</v>
      </c>
      <c r="W20" s="32">
        <f t="shared" ref="W20:W29" si="7">V20*(1+$W$19/100)</f>
        <v>256.94062349589041</v>
      </c>
      <c r="X20" s="32">
        <f t="shared" ref="X20:X29" si="8">V20*(1+$X$19/100)</f>
        <v>261.97867493698629</v>
      </c>
      <c r="Y20" s="115"/>
      <c r="Z20" s="115"/>
      <c r="AH20" s="99">
        <v>1</v>
      </c>
      <c r="AI20" s="113" t="s">
        <v>1106</v>
      </c>
      <c r="AJ20" s="113">
        <v>18000000</v>
      </c>
      <c r="AK20" s="99">
        <v>1</v>
      </c>
      <c r="AL20" s="99">
        <f>AL21+AK20</f>
        <v>555</v>
      </c>
      <c r="AM20" s="113">
        <f>AJ20*AL20</f>
        <v>9990000000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4456</v>
      </c>
      <c r="L21" s="117">
        <f>-N37</f>
        <v>781762681.27781534</v>
      </c>
      <c r="M21" s="168" t="s">
        <v>4293</v>
      </c>
      <c r="N21" s="113">
        <f t="shared" ref="N21:N26" si="9">O21*P21</f>
        <v>498981760.19999999</v>
      </c>
      <c r="O21" s="99">
        <v>1633863</v>
      </c>
      <c r="P21" s="185">
        <f>P52</f>
        <v>305.39999999999998</v>
      </c>
      <c r="Q21" s="169">
        <v>1353959</v>
      </c>
      <c r="R21" s="168" t="s">
        <v>4418</v>
      </c>
      <c r="S21" s="198">
        <f>S20-59</f>
        <v>327</v>
      </c>
      <c r="T21" s="19" t="s">
        <v>4461</v>
      </c>
      <c r="U21" s="168">
        <v>192.2</v>
      </c>
      <c r="V21" s="168">
        <f t="shared" si="6"/>
        <v>243.3346783561644</v>
      </c>
      <c r="W21" s="32">
        <f t="shared" si="7"/>
        <v>248.2013719232877</v>
      </c>
      <c r="X21" s="32">
        <f t="shared" si="8"/>
        <v>253.06806549041099</v>
      </c>
      <c r="Y21" s="115"/>
      <c r="Z21" s="115"/>
      <c r="AH21" s="99">
        <v>2</v>
      </c>
      <c r="AI21" s="113" t="s">
        <v>1108</v>
      </c>
      <c r="AJ21" s="113">
        <v>2500000</v>
      </c>
      <c r="AK21" s="99">
        <v>1</v>
      </c>
      <c r="AL21" s="99">
        <f t="shared" ref="AL21:AL63" si="10">AL22+AK21</f>
        <v>554</v>
      </c>
      <c r="AM21" s="113">
        <f t="shared" ref="AM21:AM120" si="11">AJ21*AL21</f>
        <v>1385000000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4381</v>
      </c>
      <c r="N22" s="113">
        <f t="shared" si="9"/>
        <v>6658026</v>
      </c>
      <c r="O22" s="99">
        <v>1255</v>
      </c>
      <c r="P22" s="185">
        <f>P47</f>
        <v>5305.2</v>
      </c>
      <c r="Q22" s="169">
        <v>1614398</v>
      </c>
      <c r="R22" s="168" t="s">
        <v>4424</v>
      </c>
      <c r="S22" s="168">
        <f>S21-3</f>
        <v>324</v>
      </c>
      <c r="T22" s="19" t="s">
        <v>4494</v>
      </c>
      <c r="U22" s="168">
        <v>184.6</v>
      </c>
      <c r="V22" s="168">
        <f t="shared" si="6"/>
        <v>233.28787068493153</v>
      </c>
      <c r="W22" s="32">
        <f t="shared" si="7"/>
        <v>237.95362809863016</v>
      </c>
      <c r="X22" s="32">
        <f t="shared" si="8"/>
        <v>242.61938551232879</v>
      </c>
      <c r="Y22" s="115"/>
      <c r="Z22" s="115"/>
      <c r="AH22" s="99">
        <v>3</v>
      </c>
      <c r="AI22" s="113" t="s">
        <v>1117</v>
      </c>
      <c r="AJ22" s="113">
        <v>8000000</v>
      </c>
      <c r="AK22" s="99">
        <v>1</v>
      </c>
      <c r="AL22" s="99">
        <f t="shared" si="10"/>
        <v>553</v>
      </c>
      <c r="AM22" s="113">
        <f t="shared" si="11"/>
        <v>4424000000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5324</v>
      </c>
      <c r="N23" s="113">
        <f t="shared" si="9"/>
        <v>201740</v>
      </c>
      <c r="O23" s="99">
        <v>275</v>
      </c>
      <c r="P23" s="185">
        <f>P50</f>
        <v>733.6</v>
      </c>
      <c r="Q23" s="169">
        <v>133576</v>
      </c>
      <c r="R23" s="168" t="s">
        <v>4501</v>
      </c>
      <c r="S23" s="197">
        <f>S22-22</f>
        <v>302</v>
      </c>
      <c r="T23" s="168" t="s">
        <v>4502</v>
      </c>
      <c r="U23" s="168">
        <v>166.2</v>
      </c>
      <c r="V23" s="168">
        <f t="shared" si="6"/>
        <v>207.22999890410958</v>
      </c>
      <c r="W23" s="32">
        <f t="shared" si="7"/>
        <v>211.37459888219178</v>
      </c>
      <c r="X23" s="32">
        <f t="shared" si="8"/>
        <v>215.51919886027397</v>
      </c>
      <c r="Y23" s="96"/>
      <c r="Z23" s="96"/>
      <c r="AH23" s="99">
        <v>4</v>
      </c>
      <c r="AI23" s="113" t="s">
        <v>4052</v>
      </c>
      <c r="AJ23" s="113">
        <v>-79552</v>
      </c>
      <c r="AK23" s="99">
        <v>1</v>
      </c>
      <c r="AL23" s="99">
        <f t="shared" si="10"/>
        <v>552</v>
      </c>
      <c r="AM23" s="113">
        <f t="shared" si="11"/>
        <v>-43912704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L65</f>
        <v>669956526.67781532</v>
      </c>
      <c r="G24" s="95">
        <f t="shared" si="0"/>
        <v>-389650181.29587668</v>
      </c>
      <c r="H24" s="11"/>
      <c r="I24" s="96"/>
      <c r="J24" s="96"/>
      <c r="K24" s="213"/>
      <c r="L24" s="117"/>
      <c r="M24" s="213" t="s">
        <v>5332</v>
      </c>
      <c r="N24" s="113">
        <f t="shared" si="9"/>
        <v>181707.5</v>
      </c>
      <c r="O24" s="99">
        <v>65</v>
      </c>
      <c r="P24" s="185">
        <f>P51</f>
        <v>2795.5</v>
      </c>
      <c r="Q24" s="169">
        <v>220803</v>
      </c>
      <c r="R24" s="168" t="s">
        <v>4223</v>
      </c>
      <c r="S24" s="197">
        <f>S23-1</f>
        <v>301</v>
      </c>
      <c r="T24" s="168" t="s">
        <v>4508</v>
      </c>
      <c r="U24" s="168">
        <v>166</v>
      </c>
      <c r="V24" s="168">
        <f t="shared" si="6"/>
        <v>206.85328219178086</v>
      </c>
      <c r="W24" s="32">
        <f t="shared" si="7"/>
        <v>210.99034783561649</v>
      </c>
      <c r="X24" s="32">
        <f t="shared" si="8"/>
        <v>215.12741347945212</v>
      </c>
      <c r="Y24" s="96"/>
      <c r="Z24" s="96"/>
      <c r="AH24" s="99">
        <v>5</v>
      </c>
      <c r="AI24" s="113" t="s">
        <v>1129</v>
      </c>
      <c r="AJ24" s="113">
        <v>165500</v>
      </c>
      <c r="AK24" s="99">
        <v>12</v>
      </c>
      <c r="AL24" s="99">
        <f t="shared" si="10"/>
        <v>551</v>
      </c>
      <c r="AM24" s="113">
        <f t="shared" si="11"/>
        <v>91190500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4385</v>
      </c>
      <c r="N25" s="113">
        <f t="shared" si="9"/>
        <v>3135459.6</v>
      </c>
      <c r="O25" s="99">
        <v>468</v>
      </c>
      <c r="P25" s="185">
        <f>P49</f>
        <v>6699.7</v>
      </c>
      <c r="Q25" s="169">
        <v>1023940</v>
      </c>
      <c r="R25" s="168" t="s">
        <v>4509</v>
      </c>
      <c r="S25" s="197">
        <f>S24-2</f>
        <v>299</v>
      </c>
      <c r="T25" s="168" t="s">
        <v>4515</v>
      </c>
      <c r="U25" s="168">
        <v>160.19999999999999</v>
      </c>
      <c r="V25" s="168">
        <f t="shared" si="6"/>
        <v>199.38009205479452</v>
      </c>
      <c r="W25" s="32">
        <f t="shared" si="7"/>
        <v>203.3676938958904</v>
      </c>
      <c r="X25" s="32">
        <f t="shared" si="8"/>
        <v>207.35529573698631</v>
      </c>
      <c r="Y25" s="96"/>
      <c r="Z25" s="96" t="s">
        <v>25</v>
      </c>
      <c r="AH25" s="99">
        <v>6</v>
      </c>
      <c r="AI25" s="113" t="s">
        <v>1154</v>
      </c>
      <c r="AJ25" s="113">
        <v>-28830327</v>
      </c>
      <c r="AK25" s="99">
        <v>6</v>
      </c>
      <c r="AL25" s="99">
        <f t="shared" si="10"/>
        <v>539</v>
      </c>
      <c r="AM25" s="113">
        <f t="shared" si="11"/>
        <v>-15539546253</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4459</v>
      </c>
      <c r="L26" s="117">
        <f>-'فروردین 98'!D99</f>
        <v>-25780409</v>
      </c>
      <c r="M26" s="213" t="s">
        <v>4399</v>
      </c>
      <c r="N26" s="113">
        <f t="shared" si="9"/>
        <v>120804883.2</v>
      </c>
      <c r="O26" s="99">
        <v>156808</v>
      </c>
      <c r="P26" s="185">
        <f>P48</f>
        <v>770.4</v>
      </c>
      <c r="Q26" s="169">
        <v>168846</v>
      </c>
      <c r="R26" s="168" t="s">
        <v>3689</v>
      </c>
      <c r="S26" s="197">
        <f>S25-28</f>
        <v>271</v>
      </c>
      <c r="T26" s="168" t="s">
        <v>4604</v>
      </c>
      <c r="U26" s="168">
        <v>172.2</v>
      </c>
      <c r="V26" s="168">
        <f t="shared" si="6"/>
        <v>210.6161687671233</v>
      </c>
      <c r="W26" s="32">
        <f t="shared" si="7"/>
        <v>214.82849214246576</v>
      </c>
      <c r="X26" s="32">
        <f t="shared" si="8"/>
        <v>219.04081551780823</v>
      </c>
      <c r="Y26" s="96"/>
      <c r="Z26" s="96"/>
      <c r="AH26" s="99">
        <v>7</v>
      </c>
      <c r="AI26" s="113" t="s">
        <v>1179</v>
      </c>
      <c r="AJ26" s="113">
        <v>18500000</v>
      </c>
      <c r="AK26" s="99">
        <v>1</v>
      </c>
      <c r="AL26" s="99">
        <f t="shared" si="10"/>
        <v>533</v>
      </c>
      <c r="AM26" s="113">
        <f t="shared" si="11"/>
        <v>9860500000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350718</v>
      </c>
      <c r="R27" s="213" t="s">
        <v>4673</v>
      </c>
      <c r="S27" s="197">
        <f>S26-17</f>
        <v>254</v>
      </c>
      <c r="T27" s="213" t="s">
        <v>4674</v>
      </c>
      <c r="U27" s="213">
        <v>502.3</v>
      </c>
      <c r="V27" s="213">
        <f t="shared" si="6"/>
        <v>607.80777095890414</v>
      </c>
      <c r="W27" s="32">
        <f t="shared" si="7"/>
        <v>619.96392637808219</v>
      </c>
      <c r="X27" s="32">
        <f t="shared" si="8"/>
        <v>632.12008179726035</v>
      </c>
      <c r="Y27" s="96"/>
      <c r="Z27" s="96"/>
      <c r="AH27" s="99">
        <v>8</v>
      </c>
      <c r="AI27" s="113" t="s">
        <v>1188</v>
      </c>
      <c r="AJ27" s="113">
        <v>-18550000</v>
      </c>
      <c r="AK27" s="99">
        <v>1</v>
      </c>
      <c r="AL27" s="99">
        <f t="shared" si="10"/>
        <v>532</v>
      </c>
      <c r="AM27" s="113">
        <f t="shared" si="11"/>
        <v>-9868600000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4446</v>
      </c>
      <c r="N28" s="113">
        <v>44822</v>
      </c>
      <c r="O28" s="277"/>
      <c r="P28" s="99" t="s">
        <v>25</v>
      </c>
      <c r="Q28" s="169">
        <v>17953742</v>
      </c>
      <c r="R28" s="213" t="s">
        <v>3682</v>
      </c>
      <c r="S28" s="197">
        <f>S27-15</f>
        <v>239</v>
      </c>
      <c r="T28" s="213" t="s">
        <v>4711</v>
      </c>
      <c r="U28" s="213">
        <v>486.4</v>
      </c>
      <c r="V28" s="213">
        <f t="shared" si="6"/>
        <v>582.97105534246577</v>
      </c>
      <c r="W28" s="32">
        <f t="shared" si="7"/>
        <v>594.6304764493151</v>
      </c>
      <c r="X28" s="32">
        <f t="shared" si="8"/>
        <v>606.28989755616442</v>
      </c>
      <c r="Y28" s="96"/>
      <c r="Z28" s="96"/>
      <c r="AH28" s="99">
        <v>9</v>
      </c>
      <c r="AI28" s="113" t="s">
        <v>1195</v>
      </c>
      <c r="AJ28" s="113">
        <v>-64961</v>
      </c>
      <c r="AK28" s="99">
        <v>5</v>
      </c>
      <c r="AL28" s="99">
        <f t="shared" si="10"/>
        <v>531</v>
      </c>
      <c r="AM28" s="113">
        <f t="shared" si="11"/>
        <v>-34494291</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4399</v>
      </c>
      <c r="N29" s="113">
        <f t="shared" ref="N29:N34" si="13">O29*P29</f>
        <v>1546963.2</v>
      </c>
      <c r="O29" s="69">
        <v>2008</v>
      </c>
      <c r="P29" s="99">
        <f>P48</f>
        <v>770.4</v>
      </c>
      <c r="Q29" s="169">
        <v>9566181</v>
      </c>
      <c r="R29" s="213" t="s">
        <v>4712</v>
      </c>
      <c r="S29" s="197">
        <f>S28-1</f>
        <v>238</v>
      </c>
      <c r="T29" s="213" t="s">
        <v>4713</v>
      </c>
      <c r="U29" s="213">
        <v>476.1</v>
      </c>
      <c r="V29" s="213">
        <f t="shared" si="6"/>
        <v>570.26084054794535</v>
      </c>
      <c r="W29" s="32">
        <f t="shared" si="7"/>
        <v>581.66605735890425</v>
      </c>
      <c r="X29" s="32">
        <f t="shared" si="8"/>
        <v>593.07127416986316</v>
      </c>
      <c r="Y29" s="96"/>
      <c r="Z29" s="96"/>
      <c r="AH29" s="99">
        <v>10</v>
      </c>
      <c r="AI29" s="113" t="s">
        <v>1211</v>
      </c>
      <c r="AJ29" s="113">
        <v>6400000</v>
      </c>
      <c r="AK29" s="99">
        <v>1</v>
      </c>
      <c r="AL29" s="99">
        <f t="shared" si="10"/>
        <v>526</v>
      </c>
      <c r="AM29" s="113">
        <f t="shared" si="11"/>
        <v>3366400000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4381</v>
      </c>
      <c r="N30" s="113">
        <f t="shared" si="13"/>
        <v>328922.39999999997</v>
      </c>
      <c r="O30" s="69">
        <v>62</v>
      </c>
      <c r="P30" s="99">
        <f>P47</f>
        <v>5305.2</v>
      </c>
      <c r="Q30" s="169">
        <v>1563192</v>
      </c>
      <c r="R30" s="213" t="s">
        <v>4712</v>
      </c>
      <c r="S30" s="197">
        <f>S29</f>
        <v>238</v>
      </c>
      <c r="T30" s="213" t="s">
        <v>4714</v>
      </c>
      <c r="U30" s="213">
        <v>168.8</v>
      </c>
      <c r="V30" s="213">
        <f t="shared" si="6"/>
        <v>202.18447780821921</v>
      </c>
      <c r="W30" s="32">
        <f t="shared" ref="W30:W49" si="14">V30*(1+$W$19/100)</f>
        <v>206.22816736438361</v>
      </c>
      <c r="X30" s="32">
        <f t="shared" ref="X30:X49" si="15">V30*(1+$X$19/100)</f>
        <v>210.27185692054798</v>
      </c>
      <c r="Y30" s="96"/>
      <c r="Z30" s="96"/>
      <c r="AH30" s="99">
        <v>11</v>
      </c>
      <c r="AI30" s="113" t="s">
        <v>4053</v>
      </c>
      <c r="AJ30" s="113">
        <v>-170000</v>
      </c>
      <c r="AK30" s="99">
        <v>5</v>
      </c>
      <c r="AL30" s="99">
        <f t="shared" si="10"/>
        <v>525</v>
      </c>
      <c r="AM30" s="113">
        <f t="shared" si="11"/>
        <v>-89250000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5324</v>
      </c>
      <c r="N31" s="113">
        <f t="shared" si="13"/>
        <v>201740</v>
      </c>
      <c r="O31" s="69">
        <v>275</v>
      </c>
      <c r="P31" s="99">
        <f>P50</f>
        <v>733.6</v>
      </c>
      <c r="Q31" s="169">
        <v>15499033</v>
      </c>
      <c r="R31" s="213" t="s">
        <v>4730</v>
      </c>
      <c r="S31" s="197">
        <f>S30-6</f>
        <v>232</v>
      </c>
      <c r="T31" s="213" t="s">
        <v>4734</v>
      </c>
      <c r="U31" s="213">
        <v>525.1</v>
      </c>
      <c r="V31" s="213">
        <f t="shared" si="6"/>
        <v>626.53493369863031</v>
      </c>
      <c r="W31" s="32">
        <f t="shared" si="14"/>
        <v>639.06563237260298</v>
      </c>
      <c r="X31" s="32">
        <f t="shared" si="15"/>
        <v>651.59633104657553</v>
      </c>
      <c r="Y31" s="96"/>
      <c r="Z31" s="96"/>
      <c r="AH31" s="99">
        <v>12</v>
      </c>
      <c r="AI31" s="113" t="s">
        <v>1231</v>
      </c>
      <c r="AJ31" s="113">
        <v>-6300000</v>
      </c>
      <c r="AK31" s="99">
        <v>1</v>
      </c>
      <c r="AL31" s="99">
        <f>AL32+AK31</f>
        <v>520</v>
      </c>
      <c r="AM31" s="113">
        <f t="shared" si="11"/>
        <v>-3276000000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4385</v>
      </c>
      <c r="N32" s="113">
        <f t="shared" si="13"/>
        <v>8180333.7000000002</v>
      </c>
      <c r="O32" s="69">
        <v>1221</v>
      </c>
      <c r="P32" s="99">
        <f>P49</f>
        <v>6699.7</v>
      </c>
      <c r="Q32" s="169">
        <v>30673673</v>
      </c>
      <c r="R32" s="213" t="s">
        <v>4738</v>
      </c>
      <c r="S32" s="197">
        <f>S31-1</f>
        <v>231</v>
      </c>
      <c r="T32" s="213" t="s">
        <v>4743</v>
      </c>
      <c r="U32" s="213">
        <v>529.79999999999995</v>
      </c>
      <c r="V32" s="213">
        <f t="shared" si="6"/>
        <v>631.73642301369864</v>
      </c>
      <c r="W32" s="32">
        <f t="shared" si="14"/>
        <v>644.37115147397265</v>
      </c>
      <c r="X32" s="32">
        <f t="shared" si="15"/>
        <v>657.00587993424665</v>
      </c>
      <c r="Y32" s="96"/>
      <c r="Z32" s="96"/>
      <c r="AH32" s="99">
        <v>13</v>
      </c>
      <c r="AI32" s="113" t="s">
        <v>1240</v>
      </c>
      <c r="AJ32" s="113">
        <v>-52015</v>
      </c>
      <c r="AK32" s="99">
        <v>16</v>
      </c>
      <c r="AL32" s="99">
        <f t="shared" si="10"/>
        <v>519</v>
      </c>
      <c r="AM32" s="113">
        <f t="shared" si="11"/>
        <v>-26995785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5332</v>
      </c>
      <c r="N33" s="113">
        <f t="shared" si="13"/>
        <v>181707.5</v>
      </c>
      <c r="O33" s="69">
        <v>65</v>
      </c>
      <c r="P33" s="99">
        <f>P51</f>
        <v>2795.5</v>
      </c>
      <c r="Q33" s="169">
        <v>65651</v>
      </c>
      <c r="R33" s="213" t="s">
        <v>4835</v>
      </c>
      <c r="S33" s="197">
        <f>S32-21</f>
        <v>210</v>
      </c>
      <c r="T33" s="213" t="s">
        <v>5163</v>
      </c>
      <c r="U33" s="213">
        <v>587.29999999999995</v>
      </c>
      <c r="V33" s="213">
        <f t="shared" si="6"/>
        <v>690.8385764383562</v>
      </c>
      <c r="W33" s="32">
        <f t="shared" si="14"/>
        <v>704.65534796712336</v>
      </c>
      <c r="X33" s="32">
        <f t="shared" si="15"/>
        <v>718.47211949589052</v>
      </c>
      <c r="Y33" s="96"/>
      <c r="Z33" s="96"/>
      <c r="AH33" s="99">
        <v>14</v>
      </c>
      <c r="AI33" s="113" t="s">
        <v>3706</v>
      </c>
      <c r="AJ33" s="113">
        <v>20017400</v>
      </c>
      <c r="AK33" s="99">
        <v>0</v>
      </c>
      <c r="AL33" s="99">
        <f t="shared" si="10"/>
        <v>503</v>
      </c>
      <c r="AM33" s="113">
        <f t="shared" si="11"/>
        <v>10068752200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4425</v>
      </c>
      <c r="N34" s="113">
        <f t="shared" si="13"/>
        <v>118428317.39999999</v>
      </c>
      <c r="O34" s="69">
        <v>387781</v>
      </c>
      <c r="P34" s="99">
        <f>P52</f>
        <v>305.39999999999998</v>
      </c>
      <c r="Q34" s="169">
        <v>1204691</v>
      </c>
      <c r="R34" s="213" t="s">
        <v>4942</v>
      </c>
      <c r="S34" s="197">
        <f>S33-48</f>
        <v>162</v>
      </c>
      <c r="T34" s="213" t="s">
        <v>4943</v>
      </c>
      <c r="U34" s="213">
        <v>218.5</v>
      </c>
      <c r="V34" s="213">
        <f t="shared" si="6"/>
        <v>248.97506301369867</v>
      </c>
      <c r="W34" s="32">
        <f t="shared" si="14"/>
        <v>253.95456427397266</v>
      </c>
      <c r="X34" s="32">
        <f t="shared" si="15"/>
        <v>258.93406553424666</v>
      </c>
      <c r="Y34" s="96"/>
      <c r="Z34" s="96"/>
      <c r="AH34" s="99">
        <v>15</v>
      </c>
      <c r="AI34" s="113" t="s">
        <v>3706</v>
      </c>
      <c r="AJ34" s="113">
        <v>1014466</v>
      </c>
      <c r="AK34" s="99">
        <v>12</v>
      </c>
      <c r="AL34" s="99">
        <f t="shared" si="10"/>
        <v>503</v>
      </c>
      <c r="AM34" s="113">
        <f t="shared" si="11"/>
        <v>510276398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4946</v>
      </c>
      <c r="S35" s="197">
        <f>S34-3</f>
        <v>159</v>
      </c>
      <c r="T35" s="213" t="s">
        <v>4950</v>
      </c>
      <c r="U35" s="213">
        <v>197.1</v>
      </c>
      <c r="V35" s="213">
        <f t="shared" si="6"/>
        <v>224.13672000000003</v>
      </c>
      <c r="W35" s="32">
        <f t="shared" si="14"/>
        <v>228.61945440000002</v>
      </c>
      <c r="X35" s="32">
        <f t="shared" si="15"/>
        <v>233.10218880000002</v>
      </c>
      <c r="Y35" s="96" t="s">
        <v>25</v>
      </c>
      <c r="Z35" s="96" t="s">
        <v>25</v>
      </c>
      <c r="AH35" s="99">
        <v>16</v>
      </c>
      <c r="AI35" s="113" t="s">
        <v>1142</v>
      </c>
      <c r="AJ35" s="113">
        <v>360000</v>
      </c>
      <c r="AK35" s="99">
        <v>2</v>
      </c>
      <c r="AL35" s="99">
        <f t="shared" si="10"/>
        <v>491</v>
      </c>
      <c r="AM35" s="113">
        <f t="shared" si="11"/>
        <v>176760000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P36" t="s">
        <v>25</v>
      </c>
      <c r="Q36" s="169">
        <v>12803120</v>
      </c>
      <c r="R36" s="213" t="s">
        <v>4959</v>
      </c>
      <c r="S36" s="197">
        <f>S35-5</f>
        <v>154</v>
      </c>
      <c r="T36" s="213" t="s">
        <v>4961</v>
      </c>
      <c r="U36" s="213">
        <v>194.4</v>
      </c>
      <c r="V36" s="213">
        <f t="shared" si="6"/>
        <v>220.32071013698635</v>
      </c>
      <c r="W36" s="32">
        <f t="shared" si="14"/>
        <v>224.72712433972609</v>
      </c>
      <c r="X36" s="32">
        <f t="shared" si="15"/>
        <v>229.1335385424658</v>
      </c>
      <c r="Y36" s="96" t="s">
        <v>25</v>
      </c>
      <c r="Z36" s="96"/>
      <c r="AH36" s="99">
        <v>17</v>
      </c>
      <c r="AI36" s="113" t="s">
        <v>3766</v>
      </c>
      <c r="AJ36" s="113">
        <v>-350000</v>
      </c>
      <c r="AK36" s="99">
        <v>0</v>
      </c>
      <c r="AL36" s="99">
        <f t="shared" si="10"/>
        <v>489</v>
      </c>
      <c r="AM36" s="113">
        <f t="shared" si="11"/>
        <v>-171150000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4147</v>
      </c>
      <c r="N37" s="113">
        <f>-S193</f>
        <v>-781762681.27781534</v>
      </c>
      <c r="O37" s="96" t="s">
        <v>25</v>
      </c>
      <c r="P37" s="96" t="s">
        <v>25</v>
      </c>
      <c r="Q37" s="169">
        <v>100562</v>
      </c>
      <c r="R37" s="213" t="s">
        <v>4967</v>
      </c>
      <c r="S37" s="197">
        <f>S36-6</f>
        <v>148</v>
      </c>
      <c r="T37" s="213" t="s">
        <v>4968</v>
      </c>
      <c r="U37" s="213">
        <v>190.3</v>
      </c>
      <c r="V37" s="213">
        <f t="shared" si="6"/>
        <v>214.79812712328768</v>
      </c>
      <c r="W37" s="32">
        <f t="shared" si="14"/>
        <v>219.09408966575344</v>
      </c>
      <c r="X37" s="32">
        <f t="shared" si="15"/>
        <v>223.3900522082192</v>
      </c>
      <c r="Y37" s="96" t="s">
        <v>25</v>
      </c>
      <c r="Z37" s="96"/>
      <c r="AH37" s="99">
        <v>18</v>
      </c>
      <c r="AI37" s="113" t="s">
        <v>3766</v>
      </c>
      <c r="AJ37" s="113">
        <v>1000</v>
      </c>
      <c r="AK37" s="99">
        <v>1</v>
      </c>
      <c r="AL37" s="99">
        <f t="shared" si="10"/>
        <v>489</v>
      </c>
      <c r="AM37" s="113">
        <f t="shared" si="11"/>
        <v>489000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4971</v>
      </c>
      <c r="S38" s="197">
        <f>S37-2</f>
        <v>146</v>
      </c>
      <c r="T38" s="213" t="s">
        <v>5015</v>
      </c>
      <c r="U38" s="213">
        <v>195.5</v>
      </c>
      <c r="V38" s="213">
        <f t="shared" si="6"/>
        <v>220.36760000000004</v>
      </c>
      <c r="W38" s="32">
        <f t="shared" si="14"/>
        <v>224.77495200000004</v>
      </c>
      <c r="X38" s="32">
        <f t="shared" si="15"/>
        <v>229.18230400000004</v>
      </c>
      <c r="Y38" s="96" t="s">
        <v>25</v>
      </c>
      <c r="Z38" s="96"/>
      <c r="AH38" s="99">
        <v>19</v>
      </c>
      <c r="AI38" s="113" t="s">
        <v>3770</v>
      </c>
      <c r="AJ38" s="113">
        <v>33610000</v>
      </c>
      <c r="AK38" s="99">
        <v>4</v>
      </c>
      <c r="AL38" s="99">
        <f t="shared" si="10"/>
        <v>488</v>
      </c>
      <c r="AM38" s="113">
        <f t="shared" si="11"/>
        <v>16401680000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1084</v>
      </c>
      <c r="L39" s="117">
        <f>'خرید و فروش سکه فیزیکی'!M48*10*P54</f>
        <v>0</v>
      </c>
      <c r="M39" s="168" t="s">
        <v>760</v>
      </c>
      <c r="N39" s="113">
        <v>1200000</v>
      </c>
      <c r="O39" t="s">
        <v>25</v>
      </c>
      <c r="P39" t="s">
        <v>25</v>
      </c>
      <c r="Q39" s="169">
        <v>9986627</v>
      </c>
      <c r="R39" s="213" t="s">
        <v>5017</v>
      </c>
      <c r="S39" s="197">
        <f>S38-21</f>
        <v>125</v>
      </c>
      <c r="T39" s="213" t="s">
        <v>5020</v>
      </c>
      <c r="U39" s="213">
        <v>200.2</v>
      </c>
      <c r="V39" s="213">
        <f t="shared" si="6"/>
        <v>222.44030027397261</v>
      </c>
      <c r="W39" s="32">
        <f t="shared" si="14"/>
        <v>226.88910627945208</v>
      </c>
      <c r="X39" s="32">
        <f t="shared" si="15"/>
        <v>231.33791228493152</v>
      </c>
      <c r="Y39" s="96"/>
      <c r="Z39" s="96"/>
      <c r="AA39" s="96"/>
      <c r="AB39" s="96"/>
      <c r="AC39" s="96"/>
      <c r="AD39" s="96"/>
      <c r="AH39" s="99">
        <v>20</v>
      </c>
      <c r="AI39" s="113" t="s">
        <v>4054</v>
      </c>
      <c r="AJ39" s="113">
        <v>-15600000</v>
      </c>
      <c r="AK39" s="99">
        <v>3</v>
      </c>
      <c r="AL39" s="99">
        <f t="shared" si="10"/>
        <v>484</v>
      </c>
      <c r="AM39" s="113">
        <f t="shared" si="11"/>
        <v>-7550400000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5027</v>
      </c>
      <c r="L40" s="117">
        <v>-47500000</v>
      </c>
      <c r="M40" s="73"/>
      <c r="N40" s="113"/>
      <c r="O40" s="96" t="s">
        <v>25</v>
      </c>
      <c r="P40" s="96" t="s">
        <v>25</v>
      </c>
      <c r="Q40" s="169">
        <v>499908</v>
      </c>
      <c r="R40" s="213" t="s">
        <v>5023</v>
      </c>
      <c r="S40" s="197">
        <f>S39-1</f>
        <v>124</v>
      </c>
      <c r="T40" s="213" t="s">
        <v>5028</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3784</v>
      </c>
      <c r="AJ40" s="113">
        <v>7500000</v>
      </c>
      <c r="AK40" s="99">
        <v>4</v>
      </c>
      <c r="AL40" s="99">
        <f t="shared" si="10"/>
        <v>481</v>
      </c>
      <c r="AM40" s="113">
        <f t="shared" si="11"/>
        <v>3607500000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5031</v>
      </c>
      <c r="S41" s="197">
        <f>S40-1</f>
        <v>123</v>
      </c>
      <c r="T41" s="213" t="s">
        <v>5032</v>
      </c>
      <c r="U41" s="213">
        <v>201.9</v>
      </c>
      <c r="V41" s="213">
        <f t="shared" si="6"/>
        <v>224.01938958904114</v>
      </c>
      <c r="W41" s="32">
        <f t="shared" si="14"/>
        <v>228.49977738082197</v>
      </c>
      <c r="X41" s="32">
        <f t="shared" si="15"/>
        <v>232.9801651726028</v>
      </c>
      <c r="Y41" s="96"/>
      <c r="Z41" s="96"/>
      <c r="AA41" s="96"/>
      <c r="AB41" s="96"/>
      <c r="AC41" s="96"/>
      <c r="AD41" s="96"/>
      <c r="AH41" s="99">
        <v>22</v>
      </c>
      <c r="AI41" s="113" t="s">
        <v>4055</v>
      </c>
      <c r="AJ41" s="113">
        <v>-98000</v>
      </c>
      <c r="AK41" s="99">
        <v>1</v>
      </c>
      <c r="AL41" s="99">
        <f t="shared" si="10"/>
        <v>477</v>
      </c>
      <c r="AM41" s="113">
        <f t="shared" si="11"/>
        <v>-46746000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5025</v>
      </c>
      <c r="N42" s="113">
        <v>-18000000</v>
      </c>
      <c r="O42" s="243" t="s">
        <v>25</v>
      </c>
      <c r="P42" s="114" t="s">
        <v>25</v>
      </c>
      <c r="Q42" s="169">
        <v>119890</v>
      </c>
      <c r="R42" s="213" t="s">
        <v>5045</v>
      </c>
      <c r="S42" s="197">
        <f>S41-6</f>
        <v>117</v>
      </c>
      <c r="T42" s="213" t="s">
        <v>5047</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4049</v>
      </c>
      <c r="AJ42" s="113">
        <v>-26000000</v>
      </c>
      <c r="AK42" s="99">
        <v>0</v>
      </c>
      <c r="AL42" s="99">
        <f t="shared" si="10"/>
        <v>476</v>
      </c>
      <c r="AM42" s="113">
        <f t="shared" si="11"/>
        <v>-12376000000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5026</v>
      </c>
      <c r="N43" s="113">
        <v>-47000000</v>
      </c>
      <c r="O43" s="96" t="s">
        <v>25</v>
      </c>
      <c r="P43" s="96" t="s">
        <v>25</v>
      </c>
      <c r="Q43" s="169">
        <v>102858</v>
      </c>
      <c r="R43" s="213" t="s">
        <v>5064</v>
      </c>
      <c r="S43" s="197">
        <f>S42-6</f>
        <v>111</v>
      </c>
      <c r="T43" s="213" t="s">
        <v>5067</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4049</v>
      </c>
      <c r="AJ43" s="113">
        <v>25000000</v>
      </c>
      <c r="AK43" s="99">
        <v>1</v>
      </c>
      <c r="AL43" s="99">
        <f t="shared" si="10"/>
        <v>476</v>
      </c>
      <c r="AM43" s="113">
        <f t="shared" si="11"/>
        <v>11900000000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c r="Q44" s="169">
        <v>9991144</v>
      </c>
      <c r="R44" s="213" t="s">
        <v>5071</v>
      </c>
      <c r="S44" s="197">
        <f>S43-2</f>
        <v>109</v>
      </c>
      <c r="T44" s="213" t="s">
        <v>5073</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4050</v>
      </c>
      <c r="AJ44" s="113">
        <v>110000</v>
      </c>
      <c r="AK44" s="99">
        <v>1</v>
      </c>
      <c r="AL44" s="99">
        <f t="shared" si="10"/>
        <v>475</v>
      </c>
      <c r="AM44" s="113">
        <f t="shared" si="11"/>
        <v>52250000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5179</v>
      </c>
      <c r="L45" s="117">
        <v>-1733146</v>
      </c>
      <c r="M45" s="168" t="s">
        <v>4445</v>
      </c>
      <c r="N45" s="113">
        <v>1339</v>
      </c>
      <c r="O45" s="114"/>
      <c r="P45" t="s">
        <v>25</v>
      </c>
      <c r="Q45" s="169">
        <v>23124984</v>
      </c>
      <c r="R45" s="213" t="s">
        <v>5101</v>
      </c>
      <c r="S45" s="197">
        <f>S44-19</f>
        <v>90</v>
      </c>
      <c r="T45" s="213" t="s">
        <v>5104</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3799</v>
      </c>
      <c r="AJ45" s="113">
        <v>380000</v>
      </c>
      <c r="AK45" s="99">
        <v>7</v>
      </c>
      <c r="AL45" s="99">
        <f t="shared" si="10"/>
        <v>474</v>
      </c>
      <c r="AM45" s="113">
        <f t="shared" si="11"/>
        <v>180120000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2" t="s">
        <v>5135</v>
      </c>
      <c r="L46" s="117">
        <v>-19795000</v>
      </c>
      <c r="M46" s="168"/>
      <c r="N46" s="113"/>
      <c r="O46" s="99"/>
      <c r="P46" s="99"/>
      <c r="Q46" s="169">
        <v>25661167</v>
      </c>
      <c r="R46" s="213" t="s">
        <v>5105</v>
      </c>
      <c r="S46" s="197">
        <f>S45-1</f>
        <v>89</v>
      </c>
      <c r="T46" s="213" t="s">
        <v>5221</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3885</v>
      </c>
      <c r="AJ46" s="113">
        <v>450000</v>
      </c>
      <c r="AK46" s="99">
        <v>6</v>
      </c>
      <c r="AL46" s="99">
        <f t="shared" si="10"/>
        <v>467</v>
      </c>
      <c r="AM46" s="113">
        <f t="shared" si="11"/>
        <v>210150000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J47" s="114"/>
      <c r="K47" s="36" t="s">
        <v>5352</v>
      </c>
      <c r="L47" s="117">
        <f>-31884*P52</f>
        <v>-9737373.5999999996</v>
      </c>
      <c r="M47" s="21" t="s">
        <v>4381</v>
      </c>
      <c r="N47" s="117">
        <f t="shared" ref="N47:N55" si="16">O47*P47</f>
        <v>10610.4</v>
      </c>
      <c r="O47" s="69">
        <v>2</v>
      </c>
      <c r="P47" s="69">
        <v>5305.2</v>
      </c>
      <c r="Q47" s="169">
        <v>196926</v>
      </c>
      <c r="R47" s="213" t="s">
        <v>5136</v>
      </c>
      <c r="S47" s="197">
        <f>S46-19</f>
        <v>70</v>
      </c>
      <c r="T47" s="213" t="s">
        <v>5137</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3909</v>
      </c>
      <c r="AJ47" s="113">
        <v>2800000</v>
      </c>
      <c r="AK47" s="99">
        <v>1</v>
      </c>
      <c r="AL47" s="99">
        <f t="shared" si="10"/>
        <v>461</v>
      </c>
      <c r="AM47" s="113">
        <f t="shared" si="11"/>
        <v>1290800000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5351</v>
      </c>
      <c r="L48" s="117">
        <f>-1200*P55</f>
        <v>-13500000</v>
      </c>
      <c r="M48" s="19" t="s">
        <v>4399</v>
      </c>
      <c r="N48" s="117">
        <f t="shared" si="16"/>
        <v>71443044</v>
      </c>
      <c r="O48" s="69">
        <v>92735</v>
      </c>
      <c r="P48" s="69">
        <v>770.4</v>
      </c>
      <c r="Q48" s="169">
        <v>500584</v>
      </c>
      <c r="R48" s="213" t="s">
        <v>5141</v>
      </c>
      <c r="S48" s="197">
        <f>S47-1</f>
        <v>69</v>
      </c>
      <c r="T48" s="213" t="s">
        <v>5142</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3910</v>
      </c>
      <c r="AJ48" s="113">
        <v>-1500000</v>
      </c>
      <c r="AK48" s="99">
        <v>0</v>
      </c>
      <c r="AL48" s="99">
        <f t="shared" si="10"/>
        <v>460</v>
      </c>
      <c r="AM48" s="113">
        <f t="shared" si="11"/>
        <v>-690000000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9" t="s">
        <v>4385</v>
      </c>
      <c r="N49" s="117">
        <f t="shared" si="16"/>
        <v>22417196.199999999</v>
      </c>
      <c r="O49" s="69">
        <v>3346</v>
      </c>
      <c r="P49" s="69">
        <v>6699.7</v>
      </c>
      <c r="Q49" s="169">
        <v>741022</v>
      </c>
      <c r="R49" s="213" t="s">
        <v>5130</v>
      </c>
      <c r="S49" s="197">
        <f>S48-22</f>
        <v>47</v>
      </c>
      <c r="T49" s="213" t="s">
        <v>5178</v>
      </c>
      <c r="U49" s="213">
        <v>737.6</v>
      </c>
      <c r="V49" s="213">
        <f t="shared" si="6"/>
        <v>775.40553643835631</v>
      </c>
      <c r="W49" s="32">
        <f t="shared" si="14"/>
        <v>790.91364716712349</v>
      </c>
      <c r="X49" s="32">
        <f t="shared" si="15"/>
        <v>806.42175789589055</v>
      </c>
      <c r="Y49" s="122" t="s">
        <v>25</v>
      </c>
      <c r="AC49" t="s">
        <v>25</v>
      </c>
      <c r="AD49" t="s">
        <v>25</v>
      </c>
      <c r="AF49" s="115"/>
      <c r="AH49" s="99">
        <v>30</v>
      </c>
      <c r="AI49" s="113" t="s">
        <v>3910</v>
      </c>
      <c r="AJ49" s="113">
        <v>3050000</v>
      </c>
      <c r="AK49" s="99">
        <v>3</v>
      </c>
      <c r="AL49" s="99">
        <f>AL50+AK49</f>
        <v>460</v>
      </c>
      <c r="AM49" s="113">
        <f t="shared" si="11"/>
        <v>1403000000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5324</v>
      </c>
      <c r="N50" s="117">
        <f t="shared" si="16"/>
        <v>201740</v>
      </c>
      <c r="O50" s="69">
        <v>275</v>
      </c>
      <c r="P50" s="69">
        <v>733.6</v>
      </c>
      <c r="Q50" s="169">
        <v>1866540</v>
      </c>
      <c r="R50" s="213" t="s">
        <v>5181</v>
      </c>
      <c r="S50" s="197">
        <f>S49-1</f>
        <v>46</v>
      </c>
      <c r="T50" s="213" t="s">
        <v>5182</v>
      </c>
      <c r="U50" s="213">
        <v>740.2</v>
      </c>
      <c r="V50" s="213">
        <f t="shared" si="6"/>
        <v>777.57097424657547</v>
      </c>
      <c r="W50" s="32">
        <f t="shared" ref="W50:W60" si="17">V50*(1+$W$19/100)</f>
        <v>793.12239373150703</v>
      </c>
      <c r="X50" s="32">
        <f t="shared" ref="X50:X60" si="18">V50*(1+$X$19/100)</f>
        <v>808.67381321643848</v>
      </c>
      <c r="Y50" t="s">
        <v>25</v>
      </c>
      <c r="AA50" s="96"/>
      <c r="AH50" s="99">
        <v>31</v>
      </c>
      <c r="AI50" s="113" t="s">
        <v>3934</v>
      </c>
      <c r="AJ50" s="113">
        <v>-8299612</v>
      </c>
      <c r="AK50" s="99">
        <v>2</v>
      </c>
      <c r="AL50" s="99">
        <f t="shared" si="10"/>
        <v>457</v>
      </c>
      <c r="AM50" s="113">
        <f t="shared" si="11"/>
        <v>-3792922684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5332</v>
      </c>
      <c r="N51" s="117">
        <f t="shared" si="16"/>
        <v>181707.5</v>
      </c>
      <c r="O51" s="69">
        <v>65</v>
      </c>
      <c r="P51" s="69">
        <v>2795.5</v>
      </c>
      <c r="Q51" s="169">
        <v>1373184</v>
      </c>
      <c r="R51" s="213" t="s">
        <v>5185</v>
      </c>
      <c r="S51" s="197">
        <f>S50-3</f>
        <v>43</v>
      </c>
      <c r="T51" s="213" t="s">
        <v>5186</v>
      </c>
      <c r="U51" s="213">
        <v>750.6</v>
      </c>
      <c r="V51" s="213">
        <f t="shared" si="6"/>
        <v>786.7686378082193</v>
      </c>
      <c r="W51" s="32">
        <f t="shared" si="17"/>
        <v>802.50401056438375</v>
      </c>
      <c r="X51" s="32">
        <f t="shared" si="18"/>
        <v>818.23938332054809</v>
      </c>
      <c r="AA51" s="96"/>
      <c r="AH51" s="99">
        <v>32</v>
      </c>
      <c r="AI51" s="113" t="s">
        <v>3929</v>
      </c>
      <c r="AJ51" s="113">
        <v>5000000</v>
      </c>
      <c r="AK51" s="99">
        <v>14</v>
      </c>
      <c r="AL51" s="99">
        <f t="shared" si="10"/>
        <v>455</v>
      </c>
      <c r="AM51" s="113">
        <f t="shared" si="11"/>
        <v>2275000000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262" t="s">
        <v>5345</v>
      </c>
      <c r="L52" s="117">
        <f>139165*P52</f>
        <v>42500991</v>
      </c>
      <c r="M52" s="19" t="s">
        <v>4175</v>
      </c>
      <c r="N52" s="113">
        <f t="shared" si="16"/>
        <v>915439859.39999998</v>
      </c>
      <c r="O52" s="99">
        <v>2997511</v>
      </c>
      <c r="P52" s="99">
        <v>305.39999999999998</v>
      </c>
      <c r="Q52" s="169">
        <v>4701647</v>
      </c>
      <c r="R52" s="213" t="s">
        <v>5185</v>
      </c>
      <c r="S52" s="197">
        <f>S51</f>
        <v>43</v>
      </c>
      <c r="T52" s="213" t="s">
        <v>5319</v>
      </c>
      <c r="U52" s="213">
        <v>4317.3</v>
      </c>
      <c r="V52" s="213">
        <f t="shared" ref="V52:V71" si="19">U52*(1+$R$114+$Q$15*S52/36500)</f>
        <v>4525.3347189041106</v>
      </c>
      <c r="W52" s="32">
        <f t="shared" si="17"/>
        <v>4615.8414132821927</v>
      </c>
      <c r="X52" s="32">
        <f t="shared" si="18"/>
        <v>4706.3481076602748</v>
      </c>
      <c r="Y52" t="s">
        <v>25</v>
      </c>
      <c r="AA52" s="96"/>
      <c r="AH52" s="99">
        <v>33</v>
      </c>
      <c r="AI52" s="113" t="s">
        <v>989</v>
      </c>
      <c r="AJ52" s="113">
        <v>-90000</v>
      </c>
      <c r="AK52" s="99">
        <v>1</v>
      </c>
      <c r="AL52" s="99">
        <f t="shared" si="10"/>
        <v>441</v>
      </c>
      <c r="AM52" s="113">
        <f t="shared" si="11"/>
        <v>-39690000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262"/>
      <c r="L53" s="117"/>
      <c r="M53" s="19" t="s">
        <v>5216</v>
      </c>
      <c r="N53" s="113">
        <f t="shared" si="16"/>
        <v>0</v>
      </c>
      <c r="O53" s="99">
        <v>0</v>
      </c>
      <c r="P53" s="99">
        <v>2970</v>
      </c>
      <c r="Q53" s="169">
        <v>4660</v>
      </c>
      <c r="R53" s="213" t="s">
        <v>5192</v>
      </c>
      <c r="S53" s="197">
        <f>S52-2</f>
        <v>41</v>
      </c>
      <c r="T53" s="213" t="s">
        <v>5193</v>
      </c>
      <c r="U53" s="213">
        <v>773.1</v>
      </c>
      <c r="V53" s="213">
        <f t="shared" si="19"/>
        <v>809.16670356164389</v>
      </c>
      <c r="W53" s="32">
        <f t="shared" si="17"/>
        <v>825.35003763287682</v>
      </c>
      <c r="X53" s="32">
        <f t="shared" si="18"/>
        <v>841.53337170410964</v>
      </c>
      <c r="Y53" t="s">
        <v>25</v>
      </c>
      <c r="Z53" t="s">
        <v>25</v>
      </c>
      <c r="AH53" s="99">
        <v>34</v>
      </c>
      <c r="AI53" s="113" t="s">
        <v>4051</v>
      </c>
      <c r="AJ53" s="113">
        <v>5600000</v>
      </c>
      <c r="AK53" s="99">
        <v>4</v>
      </c>
      <c r="AL53" s="99">
        <f t="shared" si="10"/>
        <v>440</v>
      </c>
      <c r="AM53" s="113">
        <f t="shared" si="11"/>
        <v>2464000000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21" t="s">
        <v>1084</v>
      </c>
      <c r="N54" s="117">
        <f t="shared" si="16"/>
        <v>0</v>
      </c>
      <c r="O54" s="69">
        <v>0</v>
      </c>
      <c r="P54" s="69">
        <v>397000</v>
      </c>
      <c r="Q54" s="169">
        <v>545132</v>
      </c>
      <c r="R54" s="213" t="s">
        <v>5194</v>
      </c>
      <c r="S54" s="197">
        <f>S53-1</f>
        <v>40</v>
      </c>
      <c r="T54" s="213" t="s">
        <v>5195</v>
      </c>
      <c r="U54" s="213">
        <v>778.5</v>
      </c>
      <c r="V54" s="213">
        <f t="shared" si="19"/>
        <v>814.22141917808233</v>
      </c>
      <c r="W54" s="32">
        <f t="shared" si="17"/>
        <v>830.50584756164403</v>
      </c>
      <c r="X54" s="32">
        <f t="shared" si="18"/>
        <v>846.79027594520562</v>
      </c>
      <c r="Y54" t="s">
        <v>25</v>
      </c>
      <c r="AH54" s="99">
        <v>35</v>
      </c>
      <c r="AI54" s="113" t="s">
        <v>3979</v>
      </c>
      <c r="AJ54" s="113">
        <v>750000</v>
      </c>
      <c r="AK54" s="99">
        <v>2</v>
      </c>
      <c r="AL54" s="99">
        <f t="shared" si="10"/>
        <v>436</v>
      </c>
      <c r="AM54" s="113">
        <f t="shared" si="11"/>
        <v>327000000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73" t="s">
        <v>5215</v>
      </c>
      <c r="N55" s="117">
        <f t="shared" si="16"/>
        <v>0</v>
      </c>
      <c r="O55" s="74">
        <v>0</v>
      </c>
      <c r="P55" s="74">
        <v>11250</v>
      </c>
      <c r="Q55" s="169">
        <v>179841</v>
      </c>
      <c r="R55" s="213" t="s">
        <v>5214</v>
      </c>
      <c r="S55" s="197">
        <f>S54-8</f>
        <v>32</v>
      </c>
      <c r="T55" s="213" t="s">
        <v>5217</v>
      </c>
      <c r="U55" s="213">
        <v>791.2</v>
      </c>
      <c r="V55" s="213">
        <f t="shared" si="19"/>
        <v>822.64857424657555</v>
      </c>
      <c r="W55" s="32">
        <f t="shared" si="17"/>
        <v>839.10154573150703</v>
      </c>
      <c r="X55" s="32">
        <f t="shared" si="18"/>
        <v>855.55451721643863</v>
      </c>
      <c r="Y55" t="s">
        <v>25</v>
      </c>
      <c r="Z55" t="s">
        <v>25</v>
      </c>
      <c r="AH55" s="171">
        <v>36</v>
      </c>
      <c r="AI55" s="170" t="s">
        <v>3989</v>
      </c>
      <c r="AJ55" s="170">
        <v>-4242000</v>
      </c>
      <c r="AK55" s="171">
        <v>2</v>
      </c>
      <c r="AL55" s="171">
        <f t="shared" si="10"/>
        <v>434</v>
      </c>
      <c r="AM55" s="170">
        <f t="shared" si="11"/>
        <v>-1841028000</v>
      </c>
      <c r="AN55" s="171" t="s">
        <v>4060</v>
      </c>
    </row>
    <row r="56" spans="1:45">
      <c r="A56" s="63">
        <v>1400</v>
      </c>
      <c r="B56" s="11">
        <v>54</v>
      </c>
      <c r="C56" s="49">
        <f t="shared" si="4"/>
        <v>5488696.1538729779</v>
      </c>
      <c r="D56" s="3">
        <f t="shared" si="5"/>
        <v>4458625.7797899675</v>
      </c>
      <c r="E56" s="3">
        <f t="shared" si="12"/>
        <v>566808386.86092329</v>
      </c>
      <c r="F56" s="3"/>
      <c r="G56" s="11"/>
      <c r="H56" s="11"/>
      <c r="K56" s="99"/>
      <c r="L56" s="117"/>
      <c r="M56" s="168" t="s">
        <v>1150</v>
      </c>
      <c r="N56" s="117">
        <v>14908</v>
      </c>
      <c r="O56" s="96" t="s">
        <v>25</v>
      </c>
      <c r="P56" t="s">
        <v>25</v>
      </c>
      <c r="Q56" s="169">
        <v>2889559</v>
      </c>
      <c r="R56" s="213" t="s">
        <v>5148</v>
      </c>
      <c r="S56" s="197">
        <f>S55-3</f>
        <v>29</v>
      </c>
      <c r="T56" s="213" t="s">
        <v>5220</v>
      </c>
      <c r="U56" s="213">
        <v>782.4</v>
      </c>
      <c r="V56" s="213">
        <f t="shared" si="19"/>
        <v>811.69820054794513</v>
      </c>
      <c r="W56" s="32">
        <f t="shared" si="17"/>
        <v>827.93216455890411</v>
      </c>
      <c r="X56" s="32">
        <f t="shared" si="18"/>
        <v>844.16612856986296</v>
      </c>
      <c r="Y56" s="96" t="s">
        <v>25</v>
      </c>
      <c r="AH56" s="99">
        <v>37</v>
      </c>
      <c r="AI56" s="113" t="s">
        <v>3989</v>
      </c>
      <c r="AJ56" s="113">
        <v>4100000</v>
      </c>
      <c r="AK56" s="99">
        <v>0</v>
      </c>
      <c r="AL56" s="99">
        <f t="shared" si="10"/>
        <v>432</v>
      </c>
      <c r="AM56" s="113">
        <f t="shared" si="11"/>
        <v>1771200000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t="s">
        <v>1151</v>
      </c>
      <c r="N57" s="117">
        <v>5282</v>
      </c>
      <c r="O57" s="96" t="s">
        <v>25</v>
      </c>
      <c r="P57" t="s">
        <v>25</v>
      </c>
      <c r="Q57" s="169">
        <v>1773978</v>
      </c>
      <c r="R57" s="213" t="s">
        <v>5223</v>
      </c>
      <c r="S57" s="197">
        <f>S56-1</f>
        <v>28</v>
      </c>
      <c r="T57" s="213" t="s">
        <v>5225</v>
      </c>
      <c r="U57" s="213">
        <v>766.4</v>
      </c>
      <c r="V57" s="213">
        <f t="shared" si="19"/>
        <v>794.51113205479453</v>
      </c>
      <c r="W57" s="32">
        <f t="shared" si="17"/>
        <v>810.4013546958904</v>
      </c>
      <c r="X57" s="32">
        <f t="shared" si="18"/>
        <v>826.29157733698639</v>
      </c>
      <c r="Y57" t="s">
        <v>25</v>
      </c>
      <c r="AH57" s="99">
        <v>38</v>
      </c>
      <c r="AI57" s="113" t="s">
        <v>3995</v>
      </c>
      <c r="AJ57" s="113">
        <v>4100000</v>
      </c>
      <c r="AK57" s="99">
        <v>1</v>
      </c>
      <c r="AL57" s="99">
        <f t="shared" si="10"/>
        <v>432</v>
      </c>
      <c r="AM57" s="113">
        <f t="shared" si="11"/>
        <v>1771200000</v>
      </c>
      <c r="AN57" s="99"/>
    </row>
    <row r="58" spans="1:45">
      <c r="A58" s="63">
        <v>1400</v>
      </c>
      <c r="B58" s="11">
        <v>56</v>
      </c>
      <c r="C58" s="50">
        <f t="shared" si="4"/>
        <v>5599018.9465658255</v>
      </c>
      <c r="D58" s="3">
        <f t="shared" si="5"/>
        <v>4548244.1579637462</v>
      </c>
      <c r="E58" s="3">
        <f t="shared" si="12"/>
        <v>591819398.97808707</v>
      </c>
      <c r="F58" s="3"/>
      <c r="G58" s="11"/>
      <c r="H58" s="11"/>
      <c r="K58" s="99"/>
      <c r="L58" s="117"/>
      <c r="M58" s="168"/>
      <c r="N58" s="113"/>
      <c r="O58" s="115"/>
      <c r="P58" s="115"/>
      <c r="Q58" s="169">
        <v>4937080</v>
      </c>
      <c r="R58" s="213" t="s">
        <v>5223</v>
      </c>
      <c r="S58" s="197">
        <f>S57</f>
        <v>28</v>
      </c>
      <c r="T58" s="213" t="s">
        <v>5226</v>
      </c>
      <c r="U58" s="213">
        <v>289.10000000000002</v>
      </c>
      <c r="V58" s="213">
        <f t="shared" si="19"/>
        <v>299.70402958904117</v>
      </c>
      <c r="W58" s="32">
        <f t="shared" si="17"/>
        <v>305.69811018082197</v>
      </c>
      <c r="X58" s="32">
        <f t="shared" si="18"/>
        <v>311.69219077260283</v>
      </c>
      <c r="Y58" t="s">
        <v>25</v>
      </c>
      <c r="AH58" s="99">
        <v>39</v>
      </c>
      <c r="AI58" s="113" t="s">
        <v>4004</v>
      </c>
      <c r="AJ58" s="113">
        <v>790000</v>
      </c>
      <c r="AK58" s="99">
        <v>15</v>
      </c>
      <c r="AL58" s="99">
        <f t="shared" si="10"/>
        <v>431</v>
      </c>
      <c r="AM58" s="113">
        <f t="shared" si="11"/>
        <v>340490000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s="99"/>
      <c r="P59" s="99"/>
      <c r="Q59" s="169">
        <v>4029844</v>
      </c>
      <c r="R59" s="213" t="s">
        <v>5232</v>
      </c>
      <c r="S59" s="197">
        <f>S58-6</f>
        <v>22</v>
      </c>
      <c r="T59" s="213" t="s">
        <v>5234</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4035</v>
      </c>
      <c r="AJ59" s="170">
        <v>-3865000</v>
      </c>
      <c r="AK59" s="171">
        <v>6</v>
      </c>
      <c r="AL59" s="171">
        <f t="shared" si="10"/>
        <v>416</v>
      </c>
      <c r="AM59" s="172">
        <f t="shared" si="11"/>
        <v>-1607840000</v>
      </c>
      <c r="AN59" s="171" t="s">
        <v>4061</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v>716284</v>
      </c>
      <c r="R60" s="213" t="s">
        <v>5237</v>
      </c>
      <c r="S60" s="197">
        <f>S59-1</f>
        <v>21</v>
      </c>
      <c r="T60" s="213" t="s">
        <v>5239</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4065</v>
      </c>
      <c r="AJ60" s="117">
        <v>18800000</v>
      </c>
      <c r="AK60" s="20">
        <v>3</v>
      </c>
      <c r="AL60" s="99">
        <f t="shared" si="10"/>
        <v>410</v>
      </c>
      <c r="AM60" s="113">
        <f t="shared" si="11"/>
        <v>7708000000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t="s">
        <v>25</v>
      </c>
      <c r="Q61" s="169">
        <v>6955516</v>
      </c>
      <c r="R61" s="213" t="s">
        <v>5242</v>
      </c>
      <c r="S61" s="197">
        <f>S60-2</f>
        <v>19</v>
      </c>
      <c r="T61" s="213" t="s">
        <v>5252</v>
      </c>
      <c r="U61" s="213">
        <v>288.5</v>
      </c>
      <c r="V61" s="213">
        <f t="shared" si="19"/>
        <v>297.09018630136984</v>
      </c>
      <c r="W61" s="32">
        <f t="shared" ref="W61:W72" si="20">V61*(1+$W$19/100)</f>
        <v>303.03199002739723</v>
      </c>
      <c r="X61" s="32">
        <f t="shared" ref="X61:X72" si="21">V61*(1+$X$19/100)</f>
        <v>308.97379375342467</v>
      </c>
      <c r="Y61" t="s">
        <v>25</v>
      </c>
      <c r="Z61" s="96"/>
      <c r="AA61" s="96"/>
      <c r="AB61" s="96"/>
      <c r="AC61" s="96"/>
      <c r="AH61" s="20">
        <v>42</v>
      </c>
      <c r="AI61" s="117" t="s">
        <v>4082</v>
      </c>
      <c r="AJ61" s="117">
        <v>500000</v>
      </c>
      <c r="AK61" s="20">
        <v>1</v>
      </c>
      <c r="AL61" s="99">
        <f t="shared" si="10"/>
        <v>407</v>
      </c>
      <c r="AM61" s="113">
        <f t="shared" si="11"/>
        <v>203500000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t="s">
        <v>4432</v>
      </c>
      <c r="N62" s="113">
        <f>-S194</f>
        <v>-25235693.945783462</v>
      </c>
      <c r="Q62" s="169">
        <v>479691</v>
      </c>
      <c r="R62" s="213" t="s">
        <v>5276</v>
      </c>
      <c r="S62" s="197">
        <f>S61-4</f>
        <v>15</v>
      </c>
      <c r="T62" s="213" t="s">
        <v>5277</v>
      </c>
      <c r="U62" s="213">
        <v>7461.3</v>
      </c>
      <c r="V62" s="213">
        <f t="shared" si="19"/>
        <v>7660.5678147945218</v>
      </c>
      <c r="W62" s="32">
        <f t="shared" si="20"/>
        <v>7813.7791710904121</v>
      </c>
      <c r="X62" s="32">
        <f t="shared" si="21"/>
        <v>7966.9905273863033</v>
      </c>
      <c r="Y62" t="s">
        <v>25</v>
      </c>
      <c r="Z62" s="96"/>
      <c r="AA62" s="96"/>
      <c r="AB62" s="96"/>
      <c r="AC62" s="96"/>
      <c r="AH62" s="20">
        <v>43</v>
      </c>
      <c r="AI62" s="117" t="s">
        <v>4086</v>
      </c>
      <c r="AJ62" s="117">
        <v>200000</v>
      </c>
      <c r="AK62" s="20">
        <v>3</v>
      </c>
      <c r="AL62" s="99">
        <f>AL63+AK62</f>
        <v>406</v>
      </c>
      <c r="AM62" s="113">
        <f t="shared" si="11"/>
        <v>81200000</v>
      </c>
      <c r="AN62" s="20"/>
    </row>
    <row r="63" spans="1:45">
      <c r="E63" s="26"/>
      <c r="K63" s="168"/>
      <c r="L63" s="117"/>
      <c r="M63" s="168"/>
      <c r="N63" s="113"/>
      <c r="P63" t="s">
        <v>25</v>
      </c>
      <c r="Q63" s="169">
        <v>354034</v>
      </c>
      <c r="R63" s="213" t="s">
        <v>5292</v>
      </c>
      <c r="S63" s="197">
        <f>S62-3</f>
        <v>12</v>
      </c>
      <c r="T63" s="213" t="s">
        <v>5293</v>
      </c>
      <c r="U63" s="213">
        <v>7048.7</v>
      </c>
      <c r="V63" s="213">
        <f t="shared" si="19"/>
        <v>7220.7269030136995</v>
      </c>
      <c r="W63" s="32">
        <f t="shared" si="20"/>
        <v>7365.1414410739735</v>
      </c>
      <c r="X63" s="32">
        <f t="shared" si="21"/>
        <v>7509.5559791342475</v>
      </c>
      <c r="Y63" t="s">
        <v>25</v>
      </c>
      <c r="Z63" s="96"/>
      <c r="AA63" s="96"/>
      <c r="AB63" s="96"/>
      <c r="AC63" s="96"/>
      <c r="AH63" s="20">
        <v>44</v>
      </c>
      <c r="AI63" s="117" t="s">
        <v>4093</v>
      </c>
      <c r="AJ63" s="117">
        <v>1000000</v>
      </c>
      <c r="AK63" s="20">
        <v>3</v>
      </c>
      <c r="AL63" s="99">
        <f t="shared" si="10"/>
        <v>403</v>
      </c>
      <c r="AM63" s="113">
        <f t="shared" si="11"/>
        <v>403000000</v>
      </c>
      <c r="AN63" s="20"/>
    </row>
    <row r="64" spans="1:45">
      <c r="E64" s="26"/>
      <c r="K64" s="168"/>
      <c r="L64" s="117"/>
      <c r="M64" s="168"/>
      <c r="N64" s="113"/>
      <c r="O64" t="s">
        <v>25</v>
      </c>
      <c r="P64" t="s">
        <v>25</v>
      </c>
      <c r="Q64" s="169">
        <v>512931</v>
      </c>
      <c r="R64" s="213" t="s">
        <v>974</v>
      </c>
      <c r="S64" s="197">
        <f>S63-4</f>
        <v>8</v>
      </c>
      <c r="T64" s="213" t="s">
        <v>5306</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4105</v>
      </c>
      <c r="AJ64" s="117">
        <v>1300000</v>
      </c>
      <c r="AK64" s="20">
        <v>0</v>
      </c>
      <c r="AL64" s="99">
        <f>AL65+AK64</f>
        <v>400</v>
      </c>
      <c r="AM64" s="113">
        <f t="shared" si="11"/>
        <v>520000000</v>
      </c>
      <c r="AN64" s="20"/>
    </row>
    <row r="65" spans="1:40">
      <c r="K65" s="168" t="s">
        <v>598</v>
      </c>
      <c r="L65" s="113">
        <f>SUM(L16:L48)</f>
        <v>669956526.67781532</v>
      </c>
      <c r="M65" s="168"/>
      <c r="N65" s="113">
        <f>SUM(N16:N64)</f>
        <v>901470658.97640121</v>
      </c>
      <c r="Q65" s="169">
        <v>230024</v>
      </c>
      <c r="R65" s="213" t="s">
        <v>5314</v>
      </c>
      <c r="S65" s="197">
        <f>S64-3</f>
        <v>5</v>
      </c>
      <c r="T65" s="213" t="s">
        <v>5317</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4105</v>
      </c>
      <c r="AJ65" s="117">
        <v>995000</v>
      </c>
      <c r="AK65" s="20">
        <v>2</v>
      </c>
      <c r="AL65" s="99">
        <f t="shared" ref="AL65:AL92" si="22">AL66+AK65</f>
        <v>400</v>
      </c>
      <c r="AM65" s="113">
        <f t="shared" si="11"/>
        <v>398000000</v>
      </c>
      <c r="AN65" s="20"/>
    </row>
    <row r="66" spans="1:40">
      <c r="K66" s="168" t="s">
        <v>599</v>
      </c>
      <c r="L66" s="113">
        <f>L16+L17+L28</f>
        <v>439774</v>
      </c>
      <c r="M66" s="168"/>
      <c r="N66" s="113">
        <f>N16+N17+N38</f>
        <v>641053</v>
      </c>
      <c r="Q66" s="169">
        <v>1505833</v>
      </c>
      <c r="R66" s="213" t="s">
        <v>5314</v>
      </c>
      <c r="S66" s="197">
        <f>S65</f>
        <v>5</v>
      </c>
      <c r="T66" s="213" t="s">
        <v>5318</v>
      </c>
      <c r="U66" s="213">
        <v>6722.1</v>
      </c>
      <c r="V66" s="213">
        <f t="shared" si="19"/>
        <v>6850.0593172602748</v>
      </c>
      <c r="W66" s="32">
        <f t="shared" si="20"/>
        <v>6987.0605036054803</v>
      </c>
      <c r="X66" s="32">
        <f t="shared" si="21"/>
        <v>7124.0616899506858</v>
      </c>
      <c r="Y66" t="s">
        <v>25</v>
      </c>
      <c r="Z66" s="96"/>
      <c r="AA66" s="96"/>
      <c r="AB66" s="96"/>
      <c r="AC66" s="96"/>
      <c r="AH66" s="20">
        <v>46</v>
      </c>
      <c r="AI66" s="117" t="s">
        <v>4115</v>
      </c>
      <c r="AJ66" s="117">
        <v>13000000</v>
      </c>
      <c r="AK66" s="20">
        <v>2</v>
      </c>
      <c r="AL66" s="99">
        <f t="shared" si="22"/>
        <v>398</v>
      </c>
      <c r="AM66" s="113">
        <f t="shared" si="11"/>
        <v>5174000000</v>
      </c>
      <c r="AN66" s="20"/>
    </row>
    <row r="67" spans="1:40">
      <c r="A67" t="s">
        <v>25</v>
      </c>
      <c r="F67" t="s">
        <v>310</v>
      </c>
      <c r="G67" t="s">
        <v>4097</v>
      </c>
      <c r="K67" s="56" t="s">
        <v>716</v>
      </c>
      <c r="L67" s="1">
        <f>L65+N7</f>
        <v>769956526.67781532</v>
      </c>
      <c r="M67" s="113"/>
      <c r="N67" s="168"/>
      <c r="O67" s="115"/>
      <c r="P67" s="115"/>
      <c r="Q67" s="169">
        <v>172672</v>
      </c>
      <c r="R67" s="213" t="s">
        <v>5321</v>
      </c>
      <c r="S67" s="197">
        <f>S66-1</f>
        <v>4</v>
      </c>
      <c r="T67" s="213" t="s">
        <v>5325</v>
      </c>
      <c r="U67" s="213">
        <v>625</v>
      </c>
      <c r="V67" s="213">
        <f t="shared" si="19"/>
        <v>636.41780821917826</v>
      </c>
      <c r="W67" s="32">
        <f t="shared" si="20"/>
        <v>649.14616438356188</v>
      </c>
      <c r="X67" s="32">
        <f t="shared" si="21"/>
        <v>661.87452054794539</v>
      </c>
      <c r="Y67" t="s">
        <v>25</v>
      </c>
      <c r="Z67" s="96"/>
      <c r="AA67" s="96"/>
      <c r="AB67" s="96"/>
      <c r="AC67" s="96"/>
      <c r="AH67" s="20">
        <v>47</v>
      </c>
      <c r="AI67" s="117" t="s">
        <v>4128</v>
      </c>
      <c r="AJ67" s="117">
        <v>-3100000</v>
      </c>
      <c r="AK67" s="20">
        <v>3</v>
      </c>
      <c r="AL67" s="99">
        <f t="shared" si="22"/>
        <v>396</v>
      </c>
      <c r="AM67" s="113">
        <f t="shared" si="11"/>
        <v>-1227600000</v>
      </c>
      <c r="AN67" s="20"/>
    </row>
    <row r="68" spans="1:40">
      <c r="F68" t="s">
        <v>4101</v>
      </c>
      <c r="G68" t="s">
        <v>4096</v>
      </c>
      <c r="O68" s="96"/>
      <c r="P68" s="96"/>
      <c r="Q68" s="169">
        <v>150178</v>
      </c>
      <c r="R68" s="213" t="s">
        <v>5328</v>
      </c>
      <c r="S68" s="197">
        <f>S67-4</f>
        <v>0</v>
      </c>
      <c r="T68" s="213" t="s">
        <v>5333</v>
      </c>
      <c r="U68" s="213">
        <v>2300</v>
      </c>
      <c r="V68" s="213">
        <f t="shared" si="19"/>
        <v>2334.96</v>
      </c>
      <c r="W68" s="32">
        <f t="shared" si="20"/>
        <v>2381.6592000000001</v>
      </c>
      <c r="X68" s="32">
        <f t="shared" si="21"/>
        <v>2428.3584000000001</v>
      </c>
      <c r="Y68" t="s">
        <v>25</v>
      </c>
      <c r="Z68" s="96"/>
      <c r="AA68" s="96"/>
      <c r="AB68" s="96"/>
      <c r="AC68" s="96"/>
      <c r="AH68" s="20">
        <v>48</v>
      </c>
      <c r="AI68" s="117" t="s">
        <v>4143</v>
      </c>
      <c r="AJ68" s="117">
        <v>45640000</v>
      </c>
      <c r="AK68" s="20">
        <v>1</v>
      </c>
      <c r="AL68" s="99">
        <f t="shared" si="22"/>
        <v>393</v>
      </c>
      <c r="AM68" s="113">
        <f t="shared" si="11"/>
        <v>17936520000</v>
      </c>
      <c r="AN68" s="20"/>
    </row>
    <row r="69" spans="1:40">
      <c r="F69" t="s">
        <v>4102</v>
      </c>
      <c r="G69" t="s">
        <v>4098</v>
      </c>
      <c r="M69" s="25"/>
      <c r="O69" t="s">
        <v>25</v>
      </c>
      <c r="Q69" s="169">
        <v>908423</v>
      </c>
      <c r="R69" s="213" t="s">
        <v>991</v>
      </c>
      <c r="S69" s="197">
        <f>S68-1</f>
        <v>-1</v>
      </c>
      <c r="T69" s="213" t="s">
        <v>5337</v>
      </c>
      <c r="U69" s="213">
        <v>6905</v>
      </c>
      <c r="V69" s="213">
        <f t="shared" si="19"/>
        <v>7004.6590136986315</v>
      </c>
      <c r="W69" s="32">
        <f t="shared" si="20"/>
        <v>7144.7521939726039</v>
      </c>
      <c r="X69" s="32">
        <f t="shared" si="21"/>
        <v>7284.8453742465772</v>
      </c>
      <c r="Y69" s="122" t="s">
        <v>25</v>
      </c>
      <c r="Z69" s="96"/>
      <c r="AA69" s="96"/>
      <c r="AB69" s="96"/>
      <c r="AC69" s="96"/>
      <c r="AH69" s="20">
        <v>49</v>
      </c>
      <c r="AI69" s="117" t="s">
        <v>4148</v>
      </c>
      <c r="AJ69" s="117">
        <v>33500000</v>
      </c>
      <c r="AK69" s="20">
        <v>1</v>
      </c>
      <c r="AL69" s="99">
        <f t="shared" si="22"/>
        <v>392</v>
      </c>
      <c r="AM69" s="113">
        <f t="shared" si="11"/>
        <v>13132000000</v>
      </c>
      <c r="AN69" s="20"/>
    </row>
    <row r="70" spans="1:40">
      <c r="G70" t="s">
        <v>4099</v>
      </c>
      <c r="M70" s="25" t="s">
        <v>4078</v>
      </c>
      <c r="N70" s="96"/>
      <c r="O70" s="96" t="s">
        <v>25</v>
      </c>
      <c r="P70" s="115"/>
      <c r="Q70" s="169">
        <v>5102831</v>
      </c>
      <c r="R70" s="213" t="s">
        <v>4273</v>
      </c>
      <c r="S70" s="197">
        <f>S69-1</f>
        <v>-2</v>
      </c>
      <c r="T70" s="213" t="s">
        <v>5342</v>
      </c>
      <c r="U70" s="213">
        <v>310.3</v>
      </c>
      <c r="V70" s="213">
        <f t="shared" si="19"/>
        <v>314.54048328767124</v>
      </c>
      <c r="W70" s="32">
        <f t="shared" si="20"/>
        <v>320.83129295342468</v>
      </c>
      <c r="X70" s="32">
        <f t="shared" si="21"/>
        <v>327.12210261917812</v>
      </c>
      <c r="Y70" s="122" t="s">
        <v>25</v>
      </c>
      <c r="Z70" t="s">
        <v>25</v>
      </c>
      <c r="AH70" s="20">
        <v>50</v>
      </c>
      <c r="AI70" s="117" t="s">
        <v>4153</v>
      </c>
      <c r="AJ70" s="117">
        <v>12000000</v>
      </c>
      <c r="AK70" s="20">
        <v>1</v>
      </c>
      <c r="AL70" s="99">
        <f t="shared" si="22"/>
        <v>391</v>
      </c>
      <c r="AM70" s="117">
        <f t="shared" si="11"/>
        <v>4692000000</v>
      </c>
      <c r="AN70" s="20"/>
    </row>
    <row r="71" spans="1:40">
      <c r="G71" t="s">
        <v>4100</v>
      </c>
      <c r="M71" s="177"/>
      <c r="N71" s="96"/>
      <c r="O71" s="96"/>
      <c r="P71" s="115"/>
      <c r="Q71" s="169">
        <v>200222</v>
      </c>
      <c r="R71" s="213" t="s">
        <v>5350</v>
      </c>
      <c r="S71" s="197">
        <f>S70-5</f>
        <v>-7</v>
      </c>
      <c r="T71" s="213" t="s">
        <v>5357</v>
      </c>
      <c r="U71" s="213">
        <v>300.60000000000002</v>
      </c>
      <c r="V71" s="213">
        <f t="shared" si="19"/>
        <v>303.55493917808224</v>
      </c>
      <c r="W71" s="32">
        <f t="shared" si="20"/>
        <v>309.62603796164387</v>
      </c>
      <c r="X71" s="32">
        <f t="shared" si="21"/>
        <v>315.69713674520551</v>
      </c>
      <c r="AH71" s="20">
        <v>51</v>
      </c>
      <c r="AI71" s="117" t="s">
        <v>4158</v>
      </c>
      <c r="AJ71" s="117">
        <v>15500000</v>
      </c>
      <c r="AK71" s="20">
        <v>4</v>
      </c>
      <c r="AL71" s="99">
        <f t="shared" si="22"/>
        <v>390</v>
      </c>
      <c r="AM71" s="117">
        <f t="shared" si="11"/>
        <v>6045000000</v>
      </c>
      <c r="AN71" s="20"/>
    </row>
    <row r="72" spans="1:40">
      <c r="G72" t="s">
        <v>4104</v>
      </c>
      <c r="M72" s="96" t="s">
        <v>4790</v>
      </c>
      <c r="N72" s="96"/>
      <c r="O72" s="96"/>
      <c r="Q72" s="169" t="s">
        <v>25</v>
      </c>
      <c r="R72" s="168" t="s">
        <v>25</v>
      </c>
      <c r="S72" s="168"/>
      <c r="T72" s="168"/>
      <c r="U72" s="168"/>
      <c r="V72" s="213">
        <f>U72*(1+$R$114+$Q$15*S72/36500)</f>
        <v>0</v>
      </c>
      <c r="W72" s="32">
        <f t="shared" si="20"/>
        <v>0</v>
      </c>
      <c r="X72" s="32">
        <f t="shared" si="21"/>
        <v>0</v>
      </c>
      <c r="Y72" s="122" t="s">
        <v>25</v>
      </c>
      <c r="Z72" t="s">
        <v>25</v>
      </c>
      <c r="AH72" s="20">
        <v>52</v>
      </c>
      <c r="AI72" s="117" t="s">
        <v>4162</v>
      </c>
      <c r="AJ72" s="117">
        <v>150000</v>
      </c>
      <c r="AK72" s="20">
        <v>1</v>
      </c>
      <c r="AL72" s="99">
        <f t="shared" si="22"/>
        <v>386</v>
      </c>
      <c r="AM72" s="117">
        <f t="shared" si="11"/>
        <v>57900000</v>
      </c>
      <c r="AN72" s="20"/>
    </row>
    <row r="73" spans="1:40">
      <c r="G73" t="s">
        <v>4103</v>
      </c>
      <c r="M73" s="122" t="s">
        <v>4400</v>
      </c>
      <c r="O73" s="114"/>
      <c r="Q73" s="169">
        <f>SUM(N21:N26)-SUM(Q20:Q72)</f>
        <v>201373528.5</v>
      </c>
      <c r="R73" s="168"/>
      <c r="S73" s="168" t="s">
        <v>25</v>
      </c>
      <c r="T73" s="168"/>
      <c r="U73" s="168"/>
      <c r="V73" s="168"/>
      <c r="W73" s="32"/>
      <c r="X73" s="32"/>
      <c r="Y73" t="s">
        <v>25</v>
      </c>
      <c r="AH73" s="179">
        <v>53</v>
      </c>
      <c r="AI73" s="180" t="s">
        <v>4168</v>
      </c>
      <c r="AJ73" s="180">
        <v>29000000</v>
      </c>
      <c r="AK73" s="179">
        <v>15</v>
      </c>
      <c r="AL73" s="179">
        <f t="shared" si="22"/>
        <v>385</v>
      </c>
      <c r="AM73" s="180">
        <f t="shared" si="11"/>
        <v>11165000000</v>
      </c>
      <c r="AN73" s="179" t="s">
        <v>4178</v>
      </c>
    </row>
    <row r="74" spans="1:40">
      <c r="M74" s="122" t="s">
        <v>4492</v>
      </c>
      <c r="N74" s="96"/>
      <c r="R74" s="115" t="s">
        <v>25</v>
      </c>
      <c r="S74" s="115" t="s">
        <v>25</v>
      </c>
      <c r="T74" s="122" t="s">
        <v>25</v>
      </c>
      <c r="U74" s="115" t="s">
        <v>25</v>
      </c>
      <c r="V74" s="115" t="s">
        <v>25</v>
      </c>
      <c r="W74" s="194" t="s">
        <v>25</v>
      </c>
      <c r="X74" s="194"/>
      <c r="AH74" s="20">
        <v>54</v>
      </c>
      <c r="AI74" s="117" t="s">
        <v>4202</v>
      </c>
      <c r="AJ74" s="117">
        <v>-130000</v>
      </c>
      <c r="AK74" s="20">
        <v>7</v>
      </c>
      <c r="AL74" s="99">
        <f t="shared" si="22"/>
        <v>370</v>
      </c>
      <c r="AM74" s="117">
        <f t="shared" si="11"/>
        <v>-48100000</v>
      </c>
      <c r="AN74" s="20" t="s">
        <v>4204</v>
      </c>
    </row>
    <row r="75" spans="1:40">
      <c r="G75" s="48" t="s">
        <v>788</v>
      </c>
      <c r="H75" s="201" t="s">
        <v>476</v>
      </c>
      <c r="M75" s="122" t="s">
        <v>4562</v>
      </c>
      <c r="N75" s="96"/>
      <c r="P75" t="s">
        <v>25</v>
      </c>
      <c r="Q75" s="96"/>
      <c r="R75" s="115" t="s">
        <v>25</v>
      </c>
      <c r="S75" s="115"/>
      <c r="T75" s="115" t="s">
        <v>25</v>
      </c>
      <c r="U75" s="115" t="s">
        <v>25</v>
      </c>
      <c r="V75" s="122" t="s">
        <v>25</v>
      </c>
      <c r="W75" s="194"/>
      <c r="X75" s="194" t="s">
        <v>25</v>
      </c>
      <c r="AH75" s="20">
        <v>55</v>
      </c>
      <c r="AI75" s="117" t="s">
        <v>4250</v>
      </c>
      <c r="AJ75" s="117">
        <v>232000</v>
      </c>
      <c r="AK75" s="20">
        <v>2</v>
      </c>
      <c r="AL75" s="99">
        <f t="shared" si="22"/>
        <v>363</v>
      </c>
      <c r="AM75" s="117">
        <f>AJ75*AL75</f>
        <v>84216000</v>
      </c>
      <c r="AN75" s="20" t="s">
        <v>4252</v>
      </c>
    </row>
    <row r="76" spans="1:40" ht="30">
      <c r="D76" s="3"/>
      <c r="E76" s="11" t="s">
        <v>304</v>
      </c>
      <c r="G76" s="47">
        <v>700000</v>
      </c>
      <c r="H76" s="201" t="s">
        <v>1038</v>
      </c>
      <c r="K76" s="212" t="s">
        <v>4726</v>
      </c>
      <c r="L76" s="22" t="s">
        <v>4702</v>
      </c>
      <c r="M76" s="206" t="s">
        <v>4681</v>
      </c>
      <c r="N76" s="96"/>
      <c r="P76" s="115"/>
      <c r="Q76" s="168" t="s">
        <v>657</v>
      </c>
      <c r="R76" s="168"/>
      <c r="S76" s="168"/>
      <c r="T76" s="168"/>
      <c r="U76" s="168"/>
      <c r="V76" s="168"/>
      <c r="W76" s="32"/>
      <c r="X76" s="32"/>
      <c r="Y76" s="122" t="s">
        <v>25</v>
      </c>
      <c r="AH76" s="20">
        <v>56</v>
      </c>
      <c r="AI76" s="117" t="s">
        <v>4261</v>
      </c>
      <c r="AJ76" s="117">
        <v>-170000</v>
      </c>
      <c r="AK76" s="20">
        <v>3</v>
      </c>
      <c r="AL76" s="99">
        <f t="shared" si="22"/>
        <v>361</v>
      </c>
      <c r="AM76" s="117">
        <f t="shared" si="11"/>
        <v>-61370000</v>
      </c>
      <c r="AN76" s="20"/>
    </row>
    <row r="77" spans="1:40" ht="31.5">
      <c r="D77" s="1" t="s">
        <v>305</v>
      </c>
      <c r="E77" s="1">
        <v>70000</v>
      </c>
      <c r="G77" s="47">
        <v>500000</v>
      </c>
      <c r="H77" s="201" t="s">
        <v>479</v>
      </c>
      <c r="K77" t="s">
        <v>4727</v>
      </c>
      <c r="M77" s="259" t="s">
        <v>5040</v>
      </c>
      <c r="N77" s="96"/>
      <c r="P77" s="115" t="s">
        <v>25</v>
      </c>
      <c r="Q77" s="168" t="s">
        <v>267</v>
      </c>
      <c r="R77" s="168" t="s">
        <v>180</v>
      </c>
      <c r="S77" s="168" t="s">
        <v>183</v>
      </c>
      <c r="T77" s="168" t="s">
        <v>8</v>
      </c>
      <c r="U77" s="168" t="s">
        <v>4354</v>
      </c>
      <c r="V77" s="73" t="s">
        <v>4356</v>
      </c>
      <c r="W77" s="32">
        <v>2</v>
      </c>
      <c r="X77" s="32">
        <v>4</v>
      </c>
      <c r="Y77" t="s">
        <v>25</v>
      </c>
      <c r="AA77" t="s">
        <v>25</v>
      </c>
      <c r="AH77" s="20">
        <v>57</v>
      </c>
      <c r="AI77" s="117" t="s">
        <v>4275</v>
      </c>
      <c r="AJ77" s="117">
        <v>-300000</v>
      </c>
      <c r="AK77" s="20">
        <v>3</v>
      </c>
      <c r="AL77" s="99">
        <f t="shared" si="22"/>
        <v>358</v>
      </c>
      <c r="AM77" s="117">
        <f t="shared" si="11"/>
        <v>-107400000</v>
      </c>
      <c r="AN77" s="20"/>
    </row>
    <row r="78" spans="1:40">
      <c r="D78" s="1" t="s">
        <v>321</v>
      </c>
      <c r="E78" s="1">
        <v>100000</v>
      </c>
      <c r="G78" s="47">
        <v>180000</v>
      </c>
      <c r="H78" s="201" t="s">
        <v>558</v>
      </c>
      <c r="K78" t="s">
        <v>4565</v>
      </c>
      <c r="L78" s="96"/>
      <c r="M78" s="122"/>
      <c r="O78" t="s">
        <v>25</v>
      </c>
      <c r="P78" s="115"/>
      <c r="Q78" s="168">
        <v>0</v>
      </c>
      <c r="R78" s="168" t="s">
        <v>4168</v>
      </c>
      <c r="S78" s="168">
        <f>S118</f>
        <v>386</v>
      </c>
      <c r="T78" s="168"/>
      <c r="U78" s="168"/>
      <c r="V78" s="73"/>
      <c r="W78" s="32"/>
      <c r="X78" s="32"/>
      <c r="AD78" s="115"/>
      <c r="AE78" s="115"/>
      <c r="AH78" s="20">
        <v>58</v>
      </c>
      <c r="AI78" s="117" t="s">
        <v>4284</v>
      </c>
      <c r="AJ78" s="117">
        <v>-11400000</v>
      </c>
      <c r="AK78" s="20">
        <v>13</v>
      </c>
      <c r="AL78" s="99">
        <f t="shared" ref="AL78:AL83" si="23">AL79+AK78</f>
        <v>355</v>
      </c>
      <c r="AM78" s="117">
        <f t="shared" si="11"/>
        <v>-4047000000</v>
      </c>
      <c r="AN78" s="20"/>
    </row>
    <row r="79" spans="1:40">
      <c r="D79" s="1" t="s">
        <v>306</v>
      </c>
      <c r="E79" s="1">
        <v>80000</v>
      </c>
      <c r="G79" s="47">
        <v>0</v>
      </c>
      <c r="H79" s="201" t="s">
        <v>784</v>
      </c>
      <c r="K79" t="s">
        <v>4791</v>
      </c>
      <c r="M79" s="96">
        <f>O52+O21+O34-O59</f>
        <v>5019155</v>
      </c>
      <c r="N79" s="113">
        <f>M79*P52</f>
        <v>1532849937</v>
      </c>
      <c r="P79" s="115"/>
      <c r="Q79" s="169">
        <v>863944</v>
      </c>
      <c r="R79" s="168" t="s">
        <v>4424</v>
      </c>
      <c r="S79" s="168">
        <f>S78-62</f>
        <v>324</v>
      </c>
      <c r="T79" s="190" t="s">
        <v>4495</v>
      </c>
      <c r="U79" s="168">
        <v>184.6</v>
      </c>
      <c r="V79" s="168">
        <f t="shared" ref="V79:V109" si="24">U79*(1+$R$114+$Q$15*S79/36500)</f>
        <v>233.28787068493153</v>
      </c>
      <c r="W79" s="32">
        <f t="shared" ref="W79:W109" si="25">V79*(1+$W$19/100)</f>
        <v>237.95362809863016</v>
      </c>
      <c r="X79" s="32">
        <f t="shared" ref="X79:X109" si="26">V79*(1+$X$19/100)</f>
        <v>242.61938551232879</v>
      </c>
      <c r="AC79" s="115"/>
      <c r="AD79" s="115"/>
      <c r="AE79" s="115"/>
      <c r="AF79"/>
      <c r="AH79" s="20">
        <v>59</v>
      </c>
      <c r="AI79" s="117" t="s">
        <v>4338</v>
      </c>
      <c r="AJ79" s="117">
        <v>-10000000</v>
      </c>
      <c r="AK79" s="20">
        <v>1</v>
      </c>
      <c r="AL79" s="99">
        <f t="shared" si="23"/>
        <v>342</v>
      </c>
      <c r="AM79" s="117">
        <f>AJ79*AL79</f>
        <v>-3420000000</v>
      </c>
      <c r="AN79" s="20"/>
    </row>
    <row r="80" spans="1:40">
      <c r="D80" s="31" t="s">
        <v>307</v>
      </c>
      <c r="E80" s="1">
        <v>150000</v>
      </c>
      <c r="G80" s="47">
        <v>0</v>
      </c>
      <c r="H80" s="201" t="s">
        <v>785</v>
      </c>
      <c r="J80" t="s">
        <v>25</v>
      </c>
      <c r="K80" t="s">
        <v>4792</v>
      </c>
      <c r="M80" t="s">
        <v>4259</v>
      </c>
      <c r="P80" s="115"/>
      <c r="Q80" s="169">
        <v>1692313</v>
      </c>
      <c r="R80" s="168" t="s">
        <v>4498</v>
      </c>
      <c r="S80" s="197">
        <f>S79-21</f>
        <v>303</v>
      </c>
      <c r="T80" s="189" t="s">
        <v>4499</v>
      </c>
      <c r="U80" s="168">
        <v>168.5</v>
      </c>
      <c r="V80" s="168">
        <f t="shared" si="24"/>
        <v>210.22706301369863</v>
      </c>
      <c r="W80" s="32">
        <f t="shared" si="25"/>
        <v>214.4316042739726</v>
      </c>
      <c r="X80" s="32">
        <f t="shared" si="26"/>
        <v>218.63614553424657</v>
      </c>
      <c r="AC80" s="115"/>
      <c r="AD80" s="115"/>
      <c r="AE80" s="115"/>
      <c r="AF80"/>
      <c r="AH80" s="20">
        <v>60</v>
      </c>
      <c r="AI80" s="117" t="s">
        <v>4339</v>
      </c>
      <c r="AJ80" s="117">
        <v>-2450000</v>
      </c>
      <c r="AK80" s="20">
        <v>5</v>
      </c>
      <c r="AL80" s="99">
        <f t="shared" si="23"/>
        <v>341</v>
      </c>
      <c r="AM80" s="117">
        <f>AJ80*AL80</f>
        <v>-835450000</v>
      </c>
      <c r="AN80" s="20"/>
    </row>
    <row r="81" spans="4:52">
      <c r="D81" s="31" t="s">
        <v>308</v>
      </c>
      <c r="E81" s="1">
        <v>300000</v>
      </c>
      <c r="G81" s="47">
        <v>500000</v>
      </c>
      <c r="H81" s="48" t="s">
        <v>786</v>
      </c>
      <c r="K81" t="s">
        <v>4793</v>
      </c>
      <c r="M81" t="s">
        <v>4567</v>
      </c>
      <c r="N81" t="s">
        <v>25</v>
      </c>
      <c r="P81" s="115"/>
      <c r="Q81" s="169">
        <v>101153</v>
      </c>
      <c r="R81" s="168" t="s">
        <v>4501</v>
      </c>
      <c r="S81" s="197">
        <f>S80-1</f>
        <v>302</v>
      </c>
      <c r="T81" s="189" t="s">
        <v>4503</v>
      </c>
      <c r="U81" s="168">
        <v>166.7</v>
      </c>
      <c r="V81" s="168">
        <f t="shared" si="24"/>
        <v>207.85343452054795</v>
      </c>
      <c r="W81" s="32">
        <f t="shared" si="25"/>
        <v>212.01050321095892</v>
      </c>
      <c r="X81" s="32">
        <f t="shared" si="26"/>
        <v>216.16757190136988</v>
      </c>
      <c r="AD81" s="115"/>
      <c r="AE81" s="115"/>
      <c r="AF81" s="115"/>
      <c r="AH81" s="20">
        <v>61</v>
      </c>
      <c r="AI81" s="117" t="s">
        <v>4363</v>
      </c>
      <c r="AJ81" s="117">
        <v>-456081</v>
      </c>
      <c r="AK81" s="20">
        <v>1</v>
      </c>
      <c r="AL81" s="99">
        <f t="shared" si="23"/>
        <v>336</v>
      </c>
      <c r="AM81" s="117">
        <f t="shared" si="11"/>
        <v>-153243216</v>
      </c>
      <c r="AN81" s="20"/>
    </row>
    <row r="82" spans="4:52" ht="26.25">
      <c r="D82" s="31" t="s">
        <v>309</v>
      </c>
      <c r="E82" s="1">
        <v>100000</v>
      </c>
      <c r="G82" s="47">
        <v>75000</v>
      </c>
      <c r="H82" s="48" t="s">
        <v>787</v>
      </c>
      <c r="K82" t="s">
        <v>4525</v>
      </c>
      <c r="M82" s="256"/>
      <c r="P82" s="115"/>
      <c r="Q82" s="169">
        <v>183105</v>
      </c>
      <c r="R82" s="168" t="s">
        <v>4223</v>
      </c>
      <c r="S82" s="197">
        <f>S81-1</f>
        <v>301</v>
      </c>
      <c r="T82" s="189" t="s">
        <v>4507</v>
      </c>
      <c r="U82" s="168">
        <v>166.6</v>
      </c>
      <c r="V82" s="168">
        <f t="shared" si="24"/>
        <v>207.60094465753426</v>
      </c>
      <c r="W82" s="32">
        <f t="shared" si="25"/>
        <v>211.75296355068494</v>
      </c>
      <c r="X82" s="32">
        <f t="shared" si="26"/>
        <v>215.90498244383562</v>
      </c>
      <c r="Y82" s="96" t="s">
        <v>25</v>
      </c>
      <c r="Z82" s="115"/>
      <c r="AA82" s="115"/>
      <c r="AB82" s="115"/>
      <c r="AC82" s="115"/>
      <c r="AD82" s="115"/>
      <c r="AE82" s="115"/>
      <c r="AF82" s="115"/>
      <c r="AH82" s="20">
        <v>62</v>
      </c>
      <c r="AI82" s="117" t="s">
        <v>4365</v>
      </c>
      <c r="AJ82" s="117">
        <v>-500000</v>
      </c>
      <c r="AK82" s="20">
        <v>2</v>
      </c>
      <c r="AL82" s="99">
        <f t="shared" si="23"/>
        <v>335</v>
      </c>
      <c r="AM82" s="117">
        <f t="shared" si="11"/>
        <v>-167500000</v>
      </c>
      <c r="AN82" s="20"/>
      <c r="AO82" t="s">
        <v>25</v>
      </c>
      <c r="AU82"/>
      <c r="AW82" t="s">
        <v>25</v>
      </c>
    </row>
    <row r="83" spans="4:52">
      <c r="D83" s="31" t="s">
        <v>310</v>
      </c>
      <c r="E83" s="1">
        <v>200000</v>
      </c>
      <c r="G83" s="47">
        <v>0</v>
      </c>
      <c r="H83" s="48" t="s">
        <v>789</v>
      </c>
      <c r="K83" t="s">
        <v>4569</v>
      </c>
      <c r="M83" t="s">
        <v>5011</v>
      </c>
      <c r="P83" s="115"/>
      <c r="Q83" s="169">
        <v>168846</v>
      </c>
      <c r="R83" s="168" t="s">
        <v>3689</v>
      </c>
      <c r="S83" s="197">
        <f>S82-30</f>
        <v>271</v>
      </c>
      <c r="T83" s="189" t="s">
        <v>4604</v>
      </c>
      <c r="U83" s="168">
        <v>172.2</v>
      </c>
      <c r="V83" s="168">
        <f t="shared" si="24"/>
        <v>210.6161687671233</v>
      </c>
      <c r="W83" s="32">
        <f t="shared" si="25"/>
        <v>214.82849214246576</v>
      </c>
      <c r="X83" s="32">
        <f t="shared" si="26"/>
        <v>219.04081551780823</v>
      </c>
      <c r="Y83" s="96" t="s">
        <v>25</v>
      </c>
      <c r="Z83" s="115"/>
      <c r="AA83" s="115"/>
      <c r="AB83" s="115"/>
      <c r="AC83" s="128"/>
      <c r="AD83" s="115"/>
      <c r="AE83" s="115"/>
      <c r="AF83" s="115"/>
      <c r="AH83" s="20">
        <v>63</v>
      </c>
      <c r="AI83" s="117" t="s">
        <v>4383</v>
      </c>
      <c r="AJ83" s="117">
        <v>-6234370</v>
      </c>
      <c r="AK83" s="20">
        <v>3</v>
      </c>
      <c r="AL83" s="99">
        <f t="shared" si="23"/>
        <v>333</v>
      </c>
      <c r="AM83" s="117">
        <f t="shared" si="11"/>
        <v>-2076045210</v>
      </c>
      <c r="AN83" s="20"/>
      <c r="AU83"/>
    </row>
    <row r="84" spans="4:52">
      <c r="D84" s="18" t="s">
        <v>311</v>
      </c>
      <c r="E84" s="18">
        <v>300000</v>
      </c>
      <c r="G84" s="47">
        <v>500000</v>
      </c>
      <c r="H84" s="48" t="s">
        <v>564</v>
      </c>
      <c r="J84">
        <v>0</v>
      </c>
      <c r="K84" t="s">
        <v>4524</v>
      </c>
      <c r="M84" s="261" t="s">
        <v>5051</v>
      </c>
      <c r="P84" s="115"/>
      <c r="Q84" s="169">
        <v>19918023</v>
      </c>
      <c r="R84" s="5" t="s">
        <v>4855</v>
      </c>
      <c r="S84" s="197">
        <f>S83-75</f>
        <v>196</v>
      </c>
      <c r="T84" s="189" t="s">
        <v>4857</v>
      </c>
      <c r="U84" s="213">
        <v>183</v>
      </c>
      <c r="V84" s="213">
        <f t="shared" si="24"/>
        <v>213.29677808219179</v>
      </c>
      <c r="W84" s="32">
        <f t="shared" si="25"/>
        <v>217.56271364383562</v>
      </c>
      <c r="X84" s="32">
        <f t="shared" si="26"/>
        <v>221.82864920547948</v>
      </c>
      <c r="Y84" s="96" t="s">
        <v>25</v>
      </c>
      <c r="Z84" s="115" t="s">
        <v>25</v>
      </c>
      <c r="AA84" s="115"/>
      <c r="AB84" s="115"/>
      <c r="AC84" s="128"/>
      <c r="AD84" s="115"/>
      <c r="AE84" s="115"/>
      <c r="AF84" s="115"/>
      <c r="AH84" s="20">
        <v>64</v>
      </c>
      <c r="AI84" s="117" t="s">
        <v>4393</v>
      </c>
      <c r="AJ84" s="117">
        <v>1950957</v>
      </c>
      <c r="AK84" s="20">
        <v>4</v>
      </c>
      <c r="AL84" s="99">
        <f t="shared" si="22"/>
        <v>330</v>
      </c>
      <c r="AM84" s="117">
        <f t="shared" si="11"/>
        <v>643815810</v>
      </c>
      <c r="AN84" s="20"/>
      <c r="AZ84" t="s">
        <v>25</v>
      </c>
    </row>
    <row r="85" spans="4:52">
      <c r="D85" s="32" t="s">
        <v>312</v>
      </c>
      <c r="E85" s="1">
        <v>200000</v>
      </c>
      <c r="G85" s="47">
        <v>50000</v>
      </c>
      <c r="H85" s="48" t="s">
        <v>792</v>
      </c>
      <c r="K85" s="22" t="s">
        <v>4235</v>
      </c>
      <c r="M85" s="261" t="s">
        <v>5052</v>
      </c>
      <c r="O85" t="s">
        <v>25</v>
      </c>
      <c r="P85" t="s">
        <v>25</v>
      </c>
      <c r="Q85" s="169">
        <v>1200301</v>
      </c>
      <c r="R85" s="19" t="s">
        <v>4942</v>
      </c>
      <c r="S85" s="197">
        <f>S84-34</f>
        <v>162</v>
      </c>
      <c r="T85" s="189" t="s">
        <v>4944</v>
      </c>
      <c r="U85" s="213">
        <v>218.5</v>
      </c>
      <c r="V85" s="213">
        <f t="shared" si="24"/>
        <v>248.97506301369867</v>
      </c>
      <c r="W85" s="32">
        <f t="shared" si="25"/>
        <v>253.95456427397266</v>
      </c>
      <c r="X85" s="32">
        <f t="shared" si="26"/>
        <v>258.93406553424666</v>
      </c>
      <c r="Y85" s="96" t="s">
        <v>25</v>
      </c>
      <c r="Z85" s="115"/>
      <c r="AA85" s="115"/>
      <c r="AB85" s="115"/>
      <c r="AC85" s="128"/>
      <c r="AD85" s="115"/>
      <c r="AE85" s="115"/>
      <c r="AF85" s="115"/>
      <c r="AH85" s="20">
        <v>65</v>
      </c>
      <c r="AI85" s="117" t="s">
        <v>4418</v>
      </c>
      <c r="AJ85" s="117">
        <v>600000</v>
      </c>
      <c r="AK85" s="20">
        <v>5</v>
      </c>
      <c r="AL85" s="99">
        <f t="shared" si="22"/>
        <v>326</v>
      </c>
      <c r="AM85" s="117">
        <f t="shared" si="11"/>
        <v>195600000</v>
      </c>
      <c r="AN85" s="20"/>
    </row>
    <row r="86" spans="4:52">
      <c r="D86" s="32" t="s">
        <v>313</v>
      </c>
      <c r="E86" s="1">
        <v>20000</v>
      </c>
      <c r="G86" s="47">
        <v>140000</v>
      </c>
      <c r="H86" s="48" t="s">
        <v>314</v>
      </c>
      <c r="K86" t="s">
        <v>4521</v>
      </c>
      <c r="Q86" s="169">
        <v>6135206</v>
      </c>
      <c r="R86" s="19" t="s">
        <v>4971</v>
      </c>
      <c r="S86" s="197">
        <f>S85-16</f>
        <v>146</v>
      </c>
      <c r="T86" s="189" t="s">
        <v>4972</v>
      </c>
      <c r="U86" s="213">
        <v>196.2</v>
      </c>
      <c r="V86" s="213">
        <f t="shared" si="24"/>
        <v>221.15664000000004</v>
      </c>
      <c r="W86" s="32">
        <f t="shared" si="25"/>
        <v>225.57977280000003</v>
      </c>
      <c r="X86" s="32">
        <f t="shared" si="26"/>
        <v>230.00290560000005</v>
      </c>
      <c r="Y86" s="96" t="s">
        <v>25</v>
      </c>
      <c r="Z86" s="115"/>
      <c r="AA86" s="115"/>
      <c r="AB86" s="115"/>
      <c r="AC86" s="128"/>
      <c r="AD86" s="115"/>
      <c r="AE86" s="115"/>
      <c r="AF86" s="115"/>
      <c r="AH86" s="20">
        <v>66</v>
      </c>
      <c r="AI86" s="117" t="s">
        <v>4426</v>
      </c>
      <c r="AJ86" s="117">
        <v>7500000</v>
      </c>
      <c r="AK86" s="20">
        <v>2</v>
      </c>
      <c r="AL86" s="99">
        <f t="shared" si="22"/>
        <v>321</v>
      </c>
      <c r="AM86" s="117">
        <f t="shared" si="11"/>
        <v>2407500000</v>
      </c>
      <c r="AN86" s="20"/>
      <c r="AS86" s="96"/>
    </row>
    <row r="87" spans="4:52">
      <c r="D87" s="32" t="s">
        <v>315</v>
      </c>
      <c r="E87" s="1">
        <v>50000</v>
      </c>
      <c r="G87" s="47"/>
      <c r="H87" s="48" t="s">
        <v>25</v>
      </c>
      <c r="J87">
        <v>0</v>
      </c>
      <c r="K87" t="s">
        <v>4288</v>
      </c>
      <c r="Q87" s="169">
        <v>104578</v>
      </c>
      <c r="R87" s="19" t="s">
        <v>4993</v>
      </c>
      <c r="S87" s="197">
        <f>S86-9</f>
        <v>137</v>
      </c>
      <c r="T87" s="189" t="s">
        <v>4994</v>
      </c>
      <c r="U87" s="213">
        <v>199.8</v>
      </c>
      <c r="V87" s="213">
        <f t="shared" si="24"/>
        <v>223.83511890410963</v>
      </c>
      <c r="W87" s="32">
        <f t="shared" si="25"/>
        <v>228.31182128219183</v>
      </c>
      <c r="X87" s="32">
        <f t="shared" si="26"/>
        <v>232.78852366027402</v>
      </c>
      <c r="Y87" s="122" t="s">
        <v>25</v>
      </c>
      <c r="Z87" s="115"/>
      <c r="AA87" s="115"/>
      <c r="AB87" s="115"/>
      <c r="AC87" s="128"/>
      <c r="AD87" s="115"/>
      <c r="AE87" s="115"/>
      <c r="AF87" s="115"/>
      <c r="AH87" s="20">
        <v>67</v>
      </c>
      <c r="AI87" s="117" t="s">
        <v>4431</v>
      </c>
      <c r="AJ87" s="117">
        <v>-587816</v>
      </c>
      <c r="AK87" s="20">
        <v>3</v>
      </c>
      <c r="AL87" s="99">
        <f t="shared" si="22"/>
        <v>319</v>
      </c>
      <c r="AM87" s="117">
        <f t="shared" si="11"/>
        <v>-187513304</v>
      </c>
      <c r="AN87" s="20"/>
      <c r="AS87" s="96"/>
    </row>
    <row r="88" spans="4:52">
      <c r="D88" s="32" t="s">
        <v>316</v>
      </c>
      <c r="E88" s="1">
        <v>90000</v>
      </c>
      <c r="G88" s="47">
        <f>SUM(G76:G87)</f>
        <v>2645000</v>
      </c>
      <c r="H88" s="48" t="s">
        <v>6</v>
      </c>
      <c r="K88" t="s">
        <v>25</v>
      </c>
      <c r="Q88" s="169">
        <v>119253</v>
      </c>
      <c r="R88" s="19" t="s">
        <v>4998</v>
      </c>
      <c r="S88" s="197">
        <f>S87-3</f>
        <v>134</v>
      </c>
      <c r="T88" s="189" t="s">
        <v>4999</v>
      </c>
      <c r="U88" s="213">
        <v>199.5</v>
      </c>
      <c r="V88" s="213">
        <f t="shared" si="24"/>
        <v>223.03990684931509</v>
      </c>
      <c r="W88" s="32">
        <f t="shared" si="25"/>
        <v>227.5007049863014</v>
      </c>
      <c r="X88" s="32">
        <f t="shared" si="26"/>
        <v>231.96150312328771</v>
      </c>
      <c r="Z88" s="115"/>
      <c r="AA88" s="115"/>
      <c r="AB88" s="115"/>
      <c r="AC88" s="128"/>
      <c r="AD88" s="115"/>
      <c r="AE88" s="115"/>
      <c r="AF88" s="115"/>
      <c r="AH88" s="20">
        <v>68</v>
      </c>
      <c r="AI88" s="117" t="s">
        <v>4430</v>
      </c>
      <c r="AJ88" s="117">
        <v>-907489</v>
      </c>
      <c r="AK88" s="20">
        <v>0</v>
      </c>
      <c r="AL88" s="99">
        <f>AL89+AK88</f>
        <v>316</v>
      </c>
      <c r="AM88" s="117">
        <f t="shared" si="11"/>
        <v>-286766524</v>
      </c>
      <c r="AN88" s="20"/>
      <c r="AP88" t="s">
        <v>25</v>
      </c>
      <c r="AV88" t="s">
        <v>25</v>
      </c>
    </row>
    <row r="89" spans="4:52">
      <c r="D89" s="32" t="s">
        <v>317</v>
      </c>
      <c r="E89" s="1">
        <v>50000</v>
      </c>
      <c r="K89" s="96"/>
      <c r="M89" s="193" t="s">
        <v>4520</v>
      </c>
      <c r="Q89" s="169">
        <v>30004376</v>
      </c>
      <c r="R89" s="19" t="s">
        <v>5017</v>
      </c>
      <c r="S89" s="197">
        <f>S88-9</f>
        <v>125</v>
      </c>
      <c r="T89" s="189" t="s">
        <v>5018</v>
      </c>
      <c r="U89" s="213">
        <v>200</v>
      </c>
      <c r="V89" s="213">
        <f t="shared" si="24"/>
        <v>222.21808219178084</v>
      </c>
      <c r="W89" s="32">
        <f t="shared" si="25"/>
        <v>226.66244383561647</v>
      </c>
      <c r="X89" s="32">
        <f t="shared" si="26"/>
        <v>231.10680547945208</v>
      </c>
      <c r="Z89" s="115"/>
      <c r="AA89" s="115"/>
      <c r="AB89" s="115"/>
      <c r="AC89" s="115"/>
      <c r="AD89" s="115"/>
      <c r="AE89" s="115"/>
      <c r="AF89" s="115"/>
      <c r="AG89" s="115"/>
      <c r="AH89" s="20">
        <v>69</v>
      </c>
      <c r="AI89" s="117" t="s">
        <v>4430</v>
      </c>
      <c r="AJ89" s="117">
        <v>2450000</v>
      </c>
      <c r="AK89" s="20">
        <v>1</v>
      </c>
      <c r="AL89" s="99">
        <f t="shared" si="22"/>
        <v>316</v>
      </c>
      <c r="AM89" s="117">
        <f t="shared" si="11"/>
        <v>774200000</v>
      </c>
      <c r="AN89" s="20" t="s">
        <v>4468</v>
      </c>
      <c r="AQ89" t="s">
        <v>25</v>
      </c>
      <c r="AR89" t="s">
        <v>25</v>
      </c>
    </row>
    <row r="90" spans="4:52">
      <c r="D90" s="32" t="s">
        <v>327</v>
      </c>
      <c r="E90" s="1">
        <v>150000</v>
      </c>
      <c r="J90">
        <v>395</v>
      </c>
      <c r="K90" s="96"/>
      <c r="M90" t="s">
        <v>4521</v>
      </c>
      <c r="Q90" s="169">
        <v>119980</v>
      </c>
      <c r="R90" s="19" t="s">
        <v>5045</v>
      </c>
      <c r="S90" s="197">
        <f>S89-8</f>
        <v>117</v>
      </c>
      <c r="T90" s="189" t="s">
        <v>5048</v>
      </c>
      <c r="U90" s="213">
        <v>211</v>
      </c>
      <c r="V90" s="213">
        <f t="shared" si="24"/>
        <v>233.14517260273973</v>
      </c>
      <c r="W90" s="32">
        <f t="shared" si="25"/>
        <v>237.80807605479453</v>
      </c>
      <c r="X90" s="32">
        <f t="shared" si="26"/>
        <v>242.47097950684932</v>
      </c>
      <c r="Z90" s="115"/>
      <c r="AA90" s="115"/>
      <c r="AB90" s="115"/>
      <c r="AC90" s="115"/>
      <c r="AD90" s="115"/>
      <c r="AE90"/>
      <c r="AG90" s="115"/>
      <c r="AH90" s="20">
        <v>70</v>
      </c>
      <c r="AI90" s="117" t="s">
        <v>4470</v>
      </c>
      <c r="AJ90" s="117">
        <v>1500000</v>
      </c>
      <c r="AK90" s="20">
        <v>1</v>
      </c>
      <c r="AL90" s="99">
        <f t="shared" si="22"/>
        <v>315</v>
      </c>
      <c r="AM90" s="117">
        <f t="shared" si="11"/>
        <v>472500000</v>
      </c>
      <c r="AN90" s="20"/>
      <c r="AP90" t="s">
        <v>25</v>
      </c>
      <c r="AU90" s="96" t="s">
        <v>25</v>
      </c>
    </row>
    <row r="91" spans="4:52">
      <c r="D91" s="32" t="s">
        <v>318</v>
      </c>
      <c r="E91" s="1">
        <v>15000</v>
      </c>
      <c r="F91" s="96"/>
      <c r="G91" s="96"/>
      <c r="H91" s="96"/>
      <c r="I91" s="96"/>
      <c r="J91" s="96"/>
      <c r="K91" s="96"/>
      <c r="M91" t="s">
        <v>4524</v>
      </c>
      <c r="Q91" s="169">
        <v>106716</v>
      </c>
      <c r="R91" s="19" t="s">
        <v>5064</v>
      </c>
      <c r="S91" s="197">
        <f>S90-6</f>
        <v>111</v>
      </c>
      <c r="T91" s="189" t="s">
        <v>5066</v>
      </c>
      <c r="U91" s="213">
        <v>213.3</v>
      </c>
      <c r="V91" s="213">
        <f t="shared" si="24"/>
        <v>234.70480109589045</v>
      </c>
      <c r="W91" s="32">
        <f t="shared" si="25"/>
        <v>239.39889711780825</v>
      </c>
      <c r="X91" s="32">
        <f t="shared" si="26"/>
        <v>244.09299313972608</v>
      </c>
      <c r="Z91" s="115"/>
      <c r="AA91" s="115"/>
      <c r="AE91"/>
      <c r="AG91" s="96"/>
      <c r="AH91" s="20">
        <v>71</v>
      </c>
      <c r="AI91" s="117" t="s">
        <v>4476</v>
      </c>
      <c r="AJ91" s="117">
        <v>2648000</v>
      </c>
      <c r="AK91" s="20">
        <v>1</v>
      </c>
      <c r="AL91" s="99">
        <f t="shared" si="22"/>
        <v>314</v>
      </c>
      <c r="AM91" s="117">
        <f t="shared" si="11"/>
        <v>831472000</v>
      </c>
      <c r="AN91" s="20" t="s">
        <v>4477</v>
      </c>
      <c r="AU91" s="96" t="s">
        <v>25</v>
      </c>
    </row>
    <row r="92" spans="4:52">
      <c r="D92" s="32" t="s">
        <v>319</v>
      </c>
      <c r="E92" s="1">
        <v>20000</v>
      </c>
      <c r="F92" s="96"/>
      <c r="G92" s="96"/>
      <c r="H92" s="96"/>
      <c r="I92" s="96"/>
      <c r="J92" s="96"/>
      <c r="K92" s="96"/>
      <c r="M92" t="s">
        <v>4525</v>
      </c>
      <c r="Q92" s="169">
        <v>1324444</v>
      </c>
      <c r="R92" s="19" t="s">
        <v>5064</v>
      </c>
      <c r="S92" s="197">
        <f>S91</f>
        <v>111</v>
      </c>
      <c r="T92" s="189" t="s">
        <v>5068</v>
      </c>
      <c r="U92" s="213">
        <v>821.9</v>
      </c>
      <c r="V92" s="213">
        <f t="shared" si="24"/>
        <v>904.37822794520559</v>
      </c>
      <c r="W92" s="32">
        <f t="shared" si="25"/>
        <v>922.46579250410969</v>
      </c>
      <c r="X92" s="32">
        <f t="shared" si="26"/>
        <v>940.55335706301389</v>
      </c>
      <c r="Z92" s="115"/>
      <c r="AA92" s="115"/>
      <c r="AE92"/>
      <c r="AG92" s="96"/>
      <c r="AH92" s="20">
        <v>72</v>
      </c>
      <c r="AI92" s="117" t="s">
        <v>4224</v>
      </c>
      <c r="AJ92" s="117">
        <v>615000</v>
      </c>
      <c r="AK92" s="20">
        <v>4</v>
      </c>
      <c r="AL92" s="99">
        <f t="shared" si="22"/>
        <v>313</v>
      </c>
      <c r="AM92" s="117">
        <f t="shared" si="11"/>
        <v>192495000</v>
      </c>
      <c r="AN92" s="20"/>
      <c r="AV92" t="s">
        <v>25</v>
      </c>
    </row>
    <row r="93" spans="4:52">
      <c r="D93" s="32" t="s">
        <v>320</v>
      </c>
      <c r="E93" s="1">
        <v>40000</v>
      </c>
      <c r="F93" s="96"/>
      <c r="G93" s="96"/>
      <c r="H93" s="96"/>
      <c r="I93" s="96"/>
      <c r="J93" s="96"/>
      <c r="K93" s="96"/>
      <c r="L93" s="96"/>
      <c r="M93" s="96"/>
      <c r="N93" s="96"/>
      <c r="Q93" s="169">
        <v>240923</v>
      </c>
      <c r="R93" s="19" t="s">
        <v>5094</v>
      </c>
      <c r="S93" s="197">
        <f>S92-19</f>
        <v>92</v>
      </c>
      <c r="T93" s="189" t="s">
        <v>5096</v>
      </c>
      <c r="U93" s="213">
        <v>691.1</v>
      </c>
      <c r="V93" s="213">
        <f t="shared" si="24"/>
        <v>750.3793391780822</v>
      </c>
      <c r="W93" s="32">
        <f t="shared" si="25"/>
        <v>765.3869259616439</v>
      </c>
      <c r="X93" s="32">
        <f t="shared" si="26"/>
        <v>780.39451274520547</v>
      </c>
      <c r="Z93" s="115"/>
      <c r="AA93" s="115"/>
      <c r="AE93"/>
      <c r="AG93" s="96"/>
      <c r="AH93" s="20">
        <v>73</v>
      </c>
      <c r="AI93" s="117" t="s">
        <v>4487</v>
      </c>
      <c r="AJ93" s="117">
        <v>14000000</v>
      </c>
      <c r="AK93" s="20">
        <v>2</v>
      </c>
      <c r="AL93" s="99">
        <f>AL94+AK93</f>
        <v>309</v>
      </c>
      <c r="AM93" s="117">
        <f t="shared" si="11"/>
        <v>4326000000</v>
      </c>
      <c r="AN93" s="20"/>
    </row>
    <row r="94" spans="4:52">
      <c r="D94" s="32" t="s">
        <v>322</v>
      </c>
      <c r="E94" s="1">
        <v>150000</v>
      </c>
      <c r="F94" s="96"/>
      <c r="G94" s="96"/>
      <c r="H94" s="96"/>
      <c r="I94" s="96"/>
      <c r="J94" s="96"/>
      <c r="K94" s="96"/>
      <c r="L94" s="96"/>
      <c r="M94" s="96"/>
      <c r="N94" s="96"/>
      <c r="Q94" s="169">
        <v>1408805</v>
      </c>
      <c r="R94" s="19" t="s">
        <v>5101</v>
      </c>
      <c r="S94" s="197">
        <f>S93-2</f>
        <v>90</v>
      </c>
      <c r="T94" s="189" t="s">
        <v>5103</v>
      </c>
      <c r="U94" s="213">
        <v>235.2</v>
      </c>
      <c r="V94" s="213">
        <f t="shared" si="24"/>
        <v>255.01350575342471</v>
      </c>
      <c r="W94" s="32">
        <f t="shared" si="25"/>
        <v>260.11377586849324</v>
      </c>
      <c r="X94" s="32">
        <f t="shared" si="26"/>
        <v>265.21404598356173</v>
      </c>
      <c r="Y94">
        <v>961521</v>
      </c>
      <c r="AH94" s="20">
        <v>74</v>
      </c>
      <c r="AI94" s="117" t="s">
        <v>4491</v>
      </c>
      <c r="AJ94" s="117">
        <v>1313000</v>
      </c>
      <c r="AK94" s="20">
        <v>0</v>
      </c>
      <c r="AL94" s="99">
        <f>AL95+AK94</f>
        <v>307</v>
      </c>
      <c r="AM94" s="117">
        <f t="shared" si="11"/>
        <v>403091000</v>
      </c>
      <c r="AN94" s="20"/>
      <c r="AQ94" t="s">
        <v>25</v>
      </c>
    </row>
    <row r="95" spans="4:52">
      <c r="D95" s="32" t="s">
        <v>324</v>
      </c>
      <c r="E95" s="1">
        <v>75000</v>
      </c>
      <c r="F95" s="96"/>
      <c r="G95" s="96"/>
      <c r="H95" s="96"/>
      <c r="I95" s="96"/>
      <c r="J95" s="96"/>
      <c r="K95" s="96"/>
      <c r="Q95" s="169">
        <v>4507053</v>
      </c>
      <c r="R95" s="19" t="s">
        <v>5105</v>
      </c>
      <c r="S95" s="197">
        <f>S94-1</f>
        <v>89</v>
      </c>
      <c r="T95" s="189" t="s">
        <v>5106</v>
      </c>
      <c r="U95" s="213">
        <v>225</v>
      </c>
      <c r="V95" s="213">
        <f t="shared" si="24"/>
        <v>243.78164383561645</v>
      </c>
      <c r="W95" s="32">
        <f t="shared" si="25"/>
        <v>248.65727671232878</v>
      </c>
      <c r="X95" s="32">
        <f t="shared" si="26"/>
        <v>253.53290958904111</v>
      </c>
      <c r="Y95">
        <v>44349</v>
      </c>
      <c r="AH95" s="99">
        <v>75</v>
      </c>
      <c r="AI95" s="113" t="s">
        <v>4491</v>
      </c>
      <c r="AJ95" s="113">
        <v>2269000</v>
      </c>
      <c r="AK95" s="99">
        <v>1</v>
      </c>
      <c r="AL95" s="99">
        <f t="shared" ref="AL95:AL120" si="27">AL96+AK95</f>
        <v>307</v>
      </c>
      <c r="AM95" s="117">
        <f t="shared" si="11"/>
        <v>696583000</v>
      </c>
      <c r="AN95" s="99"/>
    </row>
    <row r="96" spans="4:52">
      <c r="D96" s="32" t="s">
        <v>314</v>
      </c>
      <c r="E96" s="1">
        <v>140000</v>
      </c>
      <c r="F96" s="96"/>
      <c r="G96" s="96"/>
      <c r="H96" s="96"/>
      <c r="I96" s="96"/>
      <c r="J96" s="96"/>
      <c r="K96" s="96"/>
      <c r="Q96" s="169">
        <v>1927152</v>
      </c>
      <c r="R96" s="19" t="s">
        <v>5099</v>
      </c>
      <c r="S96" s="197">
        <f>S95-1</f>
        <v>88</v>
      </c>
      <c r="T96" s="189" t="s">
        <v>5107</v>
      </c>
      <c r="U96" s="213">
        <v>232.6</v>
      </c>
      <c r="V96" s="213">
        <f t="shared" si="24"/>
        <v>251.83761315068497</v>
      </c>
      <c r="W96" s="32">
        <f t="shared" si="25"/>
        <v>256.87436541369868</v>
      </c>
      <c r="X96" s="32">
        <f t="shared" si="26"/>
        <v>261.91111767671237</v>
      </c>
      <c r="Y96">
        <v>9625</v>
      </c>
      <c r="AH96" s="99">
        <v>76</v>
      </c>
      <c r="AI96" s="113" t="s">
        <v>4225</v>
      </c>
      <c r="AJ96" s="113">
        <v>750000</v>
      </c>
      <c r="AK96" s="99">
        <v>4</v>
      </c>
      <c r="AL96" s="99">
        <f t="shared" si="27"/>
        <v>306</v>
      </c>
      <c r="AM96" s="117">
        <f t="shared" si="11"/>
        <v>229500000</v>
      </c>
      <c r="AN96" s="99"/>
      <c r="AQ96" t="s">
        <v>25</v>
      </c>
    </row>
    <row r="97" spans="4:47">
      <c r="D97" s="2" t="s">
        <v>478</v>
      </c>
      <c r="E97" s="3">
        <v>1083333</v>
      </c>
      <c r="F97" s="96"/>
      <c r="G97" s="96"/>
      <c r="H97" s="96"/>
      <c r="I97" s="96"/>
      <c r="J97" s="96"/>
      <c r="K97" s="96"/>
      <c r="L97" t="s">
        <v>25</v>
      </c>
      <c r="P97" s="115"/>
      <c r="Q97" s="169">
        <v>40486</v>
      </c>
      <c r="R97" s="19" t="s">
        <v>5124</v>
      </c>
      <c r="S97" s="197">
        <f>S96-13</f>
        <v>75</v>
      </c>
      <c r="T97" s="189" t="s">
        <v>5162</v>
      </c>
      <c r="U97" s="213">
        <v>707</v>
      </c>
      <c r="V97" s="213">
        <f t="shared" si="24"/>
        <v>758.42311232876727</v>
      </c>
      <c r="W97" s="32">
        <f t="shared" si="25"/>
        <v>773.59157457534263</v>
      </c>
      <c r="X97" s="32">
        <f t="shared" si="26"/>
        <v>788.76003682191799</v>
      </c>
      <c r="Y97">
        <v>6980</v>
      </c>
      <c r="AH97" s="99">
        <v>77</v>
      </c>
      <c r="AI97" s="113" t="s">
        <v>4498</v>
      </c>
      <c r="AJ97" s="113">
        <v>1900000</v>
      </c>
      <c r="AK97" s="99">
        <v>3</v>
      </c>
      <c r="AL97" s="99">
        <f t="shared" si="27"/>
        <v>302</v>
      </c>
      <c r="AM97" s="117">
        <f t="shared" si="11"/>
        <v>573800000</v>
      </c>
      <c r="AN97" s="99"/>
    </row>
    <row r="98" spans="4:47">
      <c r="D98" s="2"/>
      <c r="E98" s="3"/>
      <c r="F98" s="96"/>
      <c r="G98" s="96"/>
      <c r="H98" s="96"/>
      <c r="I98" s="96"/>
      <c r="J98" s="96"/>
      <c r="K98" s="96"/>
      <c r="P98" s="128"/>
      <c r="Q98" s="169">
        <v>160558</v>
      </c>
      <c r="R98" s="19" t="s">
        <v>5196</v>
      </c>
      <c r="S98" s="197">
        <f>S97-36</f>
        <v>39</v>
      </c>
      <c r="T98" s="189" t="s">
        <v>5198</v>
      </c>
      <c r="U98" s="213">
        <v>4319.3999999999996</v>
      </c>
      <c r="V98" s="213">
        <f t="shared" si="24"/>
        <v>4514.2818608219177</v>
      </c>
      <c r="W98" s="32">
        <f t="shared" si="25"/>
        <v>4604.5674980383565</v>
      </c>
      <c r="X98" s="32">
        <f t="shared" si="26"/>
        <v>4694.8531352547943</v>
      </c>
      <c r="Y98">
        <v>6963</v>
      </c>
      <c r="AH98" s="99">
        <v>78</v>
      </c>
      <c r="AI98" s="113" t="s">
        <v>4511</v>
      </c>
      <c r="AJ98" s="113">
        <v>6400000</v>
      </c>
      <c r="AK98" s="99">
        <v>1</v>
      </c>
      <c r="AL98" s="99">
        <f t="shared" si="27"/>
        <v>299</v>
      </c>
      <c r="AM98" s="117">
        <f t="shared" si="11"/>
        <v>1913600000</v>
      </c>
      <c r="AN98" s="99"/>
      <c r="AT98" s="96" t="s">
        <v>25</v>
      </c>
    </row>
    <row r="99" spans="4:47">
      <c r="D99" s="2"/>
      <c r="E99" s="3"/>
      <c r="F99" s="96"/>
      <c r="G99" s="96"/>
      <c r="H99" s="96"/>
      <c r="I99" s="96"/>
      <c r="J99" s="96" t="s">
        <v>25</v>
      </c>
      <c r="K99" s="96" t="s">
        <v>25</v>
      </c>
      <c r="P99" s="128"/>
      <c r="Q99" s="169">
        <v>123799</v>
      </c>
      <c r="R99" s="19" t="s">
        <v>5196</v>
      </c>
      <c r="S99" s="197">
        <f>S98</f>
        <v>39</v>
      </c>
      <c r="T99" s="189" t="s">
        <v>5199</v>
      </c>
      <c r="U99" s="213">
        <v>790</v>
      </c>
      <c r="V99" s="213">
        <f t="shared" si="24"/>
        <v>825.64306849315074</v>
      </c>
      <c r="W99" s="32">
        <f t="shared" si="25"/>
        <v>842.15592986301374</v>
      </c>
      <c r="X99" s="32">
        <f t="shared" si="26"/>
        <v>858.66879123287674</v>
      </c>
      <c r="Y99" s="96">
        <v>0</v>
      </c>
      <c r="AH99" s="99">
        <v>79</v>
      </c>
      <c r="AI99" s="113" t="s">
        <v>4509</v>
      </c>
      <c r="AJ99" s="113">
        <v>5000</v>
      </c>
      <c r="AK99" s="99">
        <v>5</v>
      </c>
      <c r="AL99" s="99">
        <f t="shared" si="27"/>
        <v>298</v>
      </c>
      <c r="AM99" s="117">
        <f t="shared" si="11"/>
        <v>1490000</v>
      </c>
      <c r="AN99" s="99"/>
      <c r="AP99" t="s">
        <v>25</v>
      </c>
    </row>
    <row r="100" spans="4:47">
      <c r="D100" s="2" t="s">
        <v>6</v>
      </c>
      <c r="E100" s="3">
        <f>SUM(E77:E98)</f>
        <v>3383333</v>
      </c>
      <c r="F100" s="96"/>
      <c r="G100" s="96"/>
      <c r="H100" s="96"/>
      <c r="I100" s="96"/>
      <c r="J100" s="96" t="s">
        <v>25</v>
      </c>
      <c r="K100" s="96" t="s">
        <v>25</v>
      </c>
      <c r="L100" s="96"/>
      <c r="M100" s="96"/>
      <c r="N100" s="96"/>
      <c r="P100" s="115"/>
      <c r="Q100" s="169">
        <v>108400</v>
      </c>
      <c r="R100" s="19" t="s">
        <v>5201</v>
      </c>
      <c r="S100" s="197">
        <f>S99-3</f>
        <v>36</v>
      </c>
      <c r="T100" s="189" t="s">
        <v>5202</v>
      </c>
      <c r="U100" s="213">
        <v>4316</v>
      </c>
      <c r="V100" s="213">
        <f t="shared" si="24"/>
        <v>4500.7957479452061</v>
      </c>
      <c r="W100" s="32">
        <f t="shared" si="25"/>
        <v>4590.8116629041106</v>
      </c>
      <c r="X100" s="32">
        <f t="shared" si="26"/>
        <v>4680.8275778630141</v>
      </c>
      <c r="Y100" s="96">
        <v>9904</v>
      </c>
      <c r="AH100" s="99">
        <v>80</v>
      </c>
      <c r="AI100" s="113" t="s">
        <v>4541</v>
      </c>
      <c r="AJ100" s="113">
        <v>-1750148</v>
      </c>
      <c r="AK100" s="99">
        <v>1</v>
      </c>
      <c r="AL100" s="99">
        <f t="shared" si="27"/>
        <v>293</v>
      </c>
      <c r="AM100" s="117">
        <f t="shared" si="11"/>
        <v>-512793364</v>
      </c>
      <c r="AN100" s="99"/>
    </row>
    <row r="101" spans="4:47">
      <c r="D101" s="2" t="s">
        <v>328</v>
      </c>
      <c r="E101" s="3">
        <f>E100/30</f>
        <v>112777.76666666666</v>
      </c>
      <c r="F101" s="96"/>
      <c r="G101" s="96"/>
      <c r="H101" s="96"/>
      <c r="I101" s="96"/>
      <c r="J101" s="96" t="s">
        <v>25</v>
      </c>
      <c r="K101" s="96" t="s">
        <v>25</v>
      </c>
      <c r="L101" s="96"/>
      <c r="M101" s="96"/>
      <c r="N101" s="96"/>
      <c r="Q101" s="169">
        <v>11503451</v>
      </c>
      <c r="R101" s="19" t="s">
        <v>5242</v>
      </c>
      <c r="S101" s="197">
        <f>S100-17</f>
        <v>19</v>
      </c>
      <c r="T101" s="189" t="s">
        <v>5243</v>
      </c>
      <c r="U101" s="213">
        <v>293.2</v>
      </c>
      <c r="V101" s="213">
        <f t="shared" si="24"/>
        <v>301.9301304109589</v>
      </c>
      <c r="W101" s="32">
        <f t="shared" si="25"/>
        <v>307.9687330191781</v>
      </c>
      <c r="X101" s="32">
        <f t="shared" si="26"/>
        <v>314.00733562739725</v>
      </c>
      <c r="Y101" s="96">
        <v>0</v>
      </c>
      <c r="AH101" s="99">
        <v>81</v>
      </c>
      <c r="AI101" s="113" t="s">
        <v>4544</v>
      </c>
      <c r="AJ101" s="113">
        <v>400000</v>
      </c>
      <c r="AK101" s="99">
        <v>0</v>
      </c>
      <c r="AL101" s="99">
        <f t="shared" si="27"/>
        <v>292</v>
      </c>
      <c r="AM101" s="117">
        <f t="shared" si="11"/>
        <v>116800000</v>
      </c>
      <c r="AN101" s="99"/>
    </row>
    <row r="102" spans="4:47">
      <c r="F102" s="96"/>
      <c r="G102" s="96"/>
      <c r="H102" s="96"/>
      <c r="I102" s="96"/>
      <c r="J102" s="96"/>
      <c r="K102" s="96"/>
      <c r="L102" s="96"/>
      <c r="M102" s="96"/>
      <c r="N102" s="96"/>
      <c r="Q102" s="169">
        <v>6153126</v>
      </c>
      <c r="R102" s="19" t="s">
        <v>5276</v>
      </c>
      <c r="S102" s="197">
        <f>S101-4</f>
        <v>15</v>
      </c>
      <c r="T102" s="189" t="s">
        <v>5278</v>
      </c>
      <c r="U102" s="213">
        <v>7469.9</v>
      </c>
      <c r="V102" s="213">
        <f t="shared" si="24"/>
        <v>7669.3974936986306</v>
      </c>
      <c r="W102" s="32">
        <f t="shared" si="25"/>
        <v>7822.7854435726031</v>
      </c>
      <c r="X102" s="32">
        <f t="shared" si="26"/>
        <v>7976.1733934465765</v>
      </c>
      <c r="Y102" s="96">
        <v>0</v>
      </c>
      <c r="AH102" s="99">
        <v>82</v>
      </c>
      <c r="AI102" s="113" t="s">
        <v>4544</v>
      </c>
      <c r="AJ102" s="113">
        <v>-2105421</v>
      </c>
      <c r="AK102" s="99">
        <v>1</v>
      </c>
      <c r="AL102" s="99">
        <f t="shared" si="27"/>
        <v>292</v>
      </c>
      <c r="AM102" s="117">
        <f t="shared" si="11"/>
        <v>-614782932</v>
      </c>
      <c r="AN102" s="99"/>
      <c r="AO102" t="s">
        <v>25</v>
      </c>
    </row>
    <row r="103" spans="4:47">
      <c r="F103" s="96"/>
      <c r="G103" s="96"/>
      <c r="H103" s="96"/>
      <c r="I103" s="96"/>
      <c r="J103" s="96" t="s">
        <v>25</v>
      </c>
      <c r="K103" t="s">
        <v>25</v>
      </c>
      <c r="L103" s="96"/>
      <c r="M103" s="96"/>
      <c r="N103" s="96"/>
      <c r="Q103" s="169">
        <v>1500533</v>
      </c>
      <c r="R103" s="19" t="s">
        <v>5281</v>
      </c>
      <c r="S103" s="197">
        <f>S102-1</f>
        <v>14</v>
      </c>
      <c r="T103" s="189" t="s">
        <v>5283</v>
      </c>
      <c r="U103" s="213">
        <v>7046</v>
      </c>
      <c r="V103" s="213">
        <f t="shared" si="24"/>
        <v>7228.7713095890422</v>
      </c>
      <c r="W103" s="32">
        <f t="shared" si="25"/>
        <v>7373.3467357808231</v>
      </c>
      <c r="X103" s="32">
        <f t="shared" si="26"/>
        <v>7517.922161972604</v>
      </c>
      <c r="Y103" s="96">
        <v>10000</v>
      </c>
      <c r="AH103" s="99">
        <v>83</v>
      </c>
      <c r="AI103" s="113" t="s">
        <v>4547</v>
      </c>
      <c r="AJ103" s="113">
        <v>-5527618</v>
      </c>
      <c r="AK103" s="99">
        <v>0</v>
      </c>
      <c r="AL103" s="99">
        <f t="shared" si="27"/>
        <v>291</v>
      </c>
      <c r="AM103" s="117">
        <f t="shared" si="11"/>
        <v>-1608536838</v>
      </c>
      <c r="AN103" s="99"/>
    </row>
    <row r="104" spans="4:47">
      <c r="J104" t="s">
        <v>25</v>
      </c>
      <c r="Q104" s="169">
        <v>360926</v>
      </c>
      <c r="R104" s="19" t="s">
        <v>5292</v>
      </c>
      <c r="S104" s="197">
        <f>S103-2</f>
        <v>12</v>
      </c>
      <c r="T104" s="189" t="s">
        <v>5295</v>
      </c>
      <c r="U104" s="213">
        <v>7045</v>
      </c>
      <c r="V104" s="213">
        <f t="shared" si="24"/>
        <v>7216.9366027397273</v>
      </c>
      <c r="W104" s="32">
        <f t="shared" si="25"/>
        <v>7361.2753347945218</v>
      </c>
      <c r="X104" s="32">
        <f t="shared" si="26"/>
        <v>7505.6140668493163</v>
      </c>
      <c r="Y104" s="96">
        <v>5664</v>
      </c>
      <c r="AH104" s="99">
        <v>84</v>
      </c>
      <c r="AI104" s="113" t="s">
        <v>4547</v>
      </c>
      <c r="AJ104" s="113">
        <v>3900000</v>
      </c>
      <c r="AK104" s="99">
        <v>3</v>
      </c>
      <c r="AL104" s="99">
        <f t="shared" si="27"/>
        <v>291</v>
      </c>
      <c r="AM104" s="117">
        <f t="shared" si="11"/>
        <v>1134900000</v>
      </c>
      <c r="AN104" s="99"/>
    </row>
    <row r="105" spans="4:47">
      <c r="Q105" s="169">
        <v>232964</v>
      </c>
      <c r="R105" s="19" t="s">
        <v>5314</v>
      </c>
      <c r="S105" s="197">
        <f>S104-7</f>
        <v>5</v>
      </c>
      <c r="T105" s="189" t="s">
        <v>5315</v>
      </c>
      <c r="U105" s="213">
        <v>295.39999999999998</v>
      </c>
      <c r="V105" s="213">
        <f t="shared" si="24"/>
        <v>301.02312109589042</v>
      </c>
      <c r="W105" s="32">
        <f t="shared" si="25"/>
        <v>307.04358351780826</v>
      </c>
      <c r="X105" s="32">
        <f t="shared" si="26"/>
        <v>313.06404593972604</v>
      </c>
      <c r="Y105" s="96">
        <v>10000</v>
      </c>
      <c r="AH105" s="99">
        <v>85</v>
      </c>
      <c r="AI105" s="113" t="s">
        <v>4548</v>
      </c>
      <c r="AJ105" s="113">
        <v>-3969754</v>
      </c>
      <c r="AK105" s="99">
        <v>1</v>
      </c>
      <c r="AL105" s="99">
        <f t="shared" si="27"/>
        <v>288</v>
      </c>
      <c r="AM105" s="117">
        <f t="shared" si="11"/>
        <v>-1143289152</v>
      </c>
      <c r="AN105" s="99"/>
    </row>
    <row r="106" spans="4:47">
      <c r="F106" s="213" t="s">
        <v>4676</v>
      </c>
      <c r="G106" s="213" t="s">
        <v>940</v>
      </c>
      <c r="H106" s="213" t="s">
        <v>4664</v>
      </c>
      <c r="I106" s="213" t="s">
        <v>4663</v>
      </c>
      <c r="J106" s="32" t="s">
        <v>4526</v>
      </c>
      <c r="K106" s="213" t="s">
        <v>4656</v>
      </c>
      <c r="L106" s="32" t="s">
        <v>4658</v>
      </c>
      <c r="M106" s="32" t="s">
        <v>4632</v>
      </c>
      <c r="N106" s="213" t="s">
        <v>4633</v>
      </c>
      <c r="Q106" s="169">
        <v>172672</v>
      </c>
      <c r="R106" s="19" t="s">
        <v>5321</v>
      </c>
      <c r="S106" s="197">
        <f>S105-1</f>
        <v>4</v>
      </c>
      <c r="T106" s="189" t="s">
        <v>5325</v>
      </c>
      <c r="U106" s="213">
        <v>625</v>
      </c>
      <c r="V106" s="213">
        <f t="shared" si="24"/>
        <v>636.41780821917826</v>
      </c>
      <c r="W106" s="32">
        <f t="shared" si="25"/>
        <v>649.14616438356188</v>
      </c>
      <c r="X106" s="32">
        <f t="shared" si="26"/>
        <v>661.87452054794539</v>
      </c>
      <c r="Y106" s="96">
        <v>8695</v>
      </c>
      <c r="AH106" s="99">
        <v>86</v>
      </c>
      <c r="AI106" s="113" t="s">
        <v>4559</v>
      </c>
      <c r="AJ106" s="113">
        <v>-25574455</v>
      </c>
      <c r="AK106" s="99">
        <v>0</v>
      </c>
      <c r="AL106" s="99">
        <f t="shared" si="27"/>
        <v>287</v>
      </c>
      <c r="AM106" s="117">
        <f t="shared" si="11"/>
        <v>-7339868585</v>
      </c>
      <c r="AN106" s="99"/>
      <c r="AP106" t="s">
        <v>25</v>
      </c>
    </row>
    <row r="107" spans="4:47">
      <c r="F107" s="199">
        <f>$L$115/G107</f>
        <v>12999.345121152588</v>
      </c>
      <c r="G107" s="199">
        <f>P52</f>
        <v>305.39999999999998</v>
      </c>
      <c r="H107" s="199" t="s">
        <v>4774</v>
      </c>
      <c r="I107" s="199" t="s">
        <v>4773</v>
      </c>
      <c r="J107" s="214" t="s">
        <v>4235</v>
      </c>
      <c r="K107" s="199">
        <v>175</v>
      </c>
      <c r="L107" s="215">
        <f t="shared" ref="L107:L112" si="28">K107*$L$115</f>
        <v>694750000</v>
      </c>
      <c r="M107" s="215">
        <f>N21+N34+N52</f>
        <v>1532849937</v>
      </c>
      <c r="N107" s="183">
        <f t="shared" ref="N107:N111" si="29">L107-M107</f>
        <v>-838099937</v>
      </c>
      <c r="Q107" s="169">
        <v>1005042</v>
      </c>
      <c r="R107" s="19" t="s">
        <v>5328</v>
      </c>
      <c r="S107" s="197">
        <f>S106-4</f>
        <v>0</v>
      </c>
      <c r="T107" s="189" t="s">
        <v>5330</v>
      </c>
      <c r="U107" s="213">
        <v>7250</v>
      </c>
      <c r="V107" s="213">
        <f t="shared" si="24"/>
        <v>7360.2000000000007</v>
      </c>
      <c r="W107" s="32">
        <f t="shared" si="25"/>
        <v>7507.4040000000005</v>
      </c>
      <c r="X107" s="32">
        <f t="shared" si="26"/>
        <v>7654.6080000000011</v>
      </c>
      <c r="Y107" s="96"/>
      <c r="AH107" s="99">
        <v>87</v>
      </c>
      <c r="AI107" s="113" t="s">
        <v>4559</v>
      </c>
      <c r="AJ107" s="113">
        <v>4000000</v>
      </c>
      <c r="AK107" s="99">
        <v>1</v>
      </c>
      <c r="AL107" s="99">
        <f t="shared" si="27"/>
        <v>287</v>
      </c>
      <c r="AM107" s="117">
        <f t="shared" si="11"/>
        <v>1148000000</v>
      </c>
      <c r="AN107" s="99"/>
    </row>
    <row r="108" spans="4:47">
      <c r="F108" s="213">
        <v>0</v>
      </c>
      <c r="G108" s="213">
        <v>0</v>
      </c>
      <c r="H108" s="213" t="s">
        <v>4946</v>
      </c>
      <c r="I108" s="213" t="s">
        <v>4947</v>
      </c>
      <c r="J108" s="32" t="s">
        <v>4385</v>
      </c>
      <c r="K108" s="213">
        <v>0</v>
      </c>
      <c r="L108" s="1">
        <f t="shared" si="28"/>
        <v>0</v>
      </c>
      <c r="M108" s="1">
        <f>0</f>
        <v>0</v>
      </c>
      <c r="N108" s="113">
        <f t="shared" si="29"/>
        <v>0</v>
      </c>
      <c r="Q108" s="169">
        <v>150178</v>
      </c>
      <c r="R108" s="19" t="s">
        <v>5328</v>
      </c>
      <c r="S108" s="197">
        <f>S107</f>
        <v>0</v>
      </c>
      <c r="T108" s="189" t="s">
        <v>5333</v>
      </c>
      <c r="U108" s="213">
        <v>2300</v>
      </c>
      <c r="V108" s="213">
        <f t="shared" si="24"/>
        <v>2334.96</v>
      </c>
      <c r="W108" s="32">
        <f t="shared" si="25"/>
        <v>2381.6592000000001</v>
      </c>
      <c r="X108" s="32">
        <f t="shared" si="26"/>
        <v>2428.3584000000001</v>
      </c>
      <c r="Y108" s="96"/>
      <c r="AH108" s="99">
        <v>88</v>
      </c>
      <c r="AI108" s="113" t="s">
        <v>993</v>
      </c>
      <c r="AJ108" s="113">
        <v>-5000000</v>
      </c>
      <c r="AK108" s="99">
        <v>2</v>
      </c>
      <c r="AL108" s="99">
        <f t="shared" si="27"/>
        <v>286</v>
      </c>
      <c r="AM108" s="117">
        <f t="shared" si="11"/>
        <v>-1430000000</v>
      </c>
      <c r="AN108" s="99"/>
    </row>
    <row r="109" spans="4:47">
      <c r="F109" s="199">
        <v>0</v>
      </c>
      <c r="G109" s="199">
        <v>0</v>
      </c>
      <c r="H109" s="199" t="s">
        <v>5100</v>
      </c>
      <c r="I109" s="199" t="s">
        <v>5099</v>
      </c>
      <c r="J109" s="214" t="s">
        <v>4381</v>
      </c>
      <c r="K109" s="199">
        <v>0</v>
      </c>
      <c r="L109" s="215">
        <f t="shared" si="28"/>
        <v>0</v>
      </c>
      <c r="M109" s="215">
        <f>0</f>
        <v>0</v>
      </c>
      <c r="N109" s="183">
        <f t="shared" si="29"/>
        <v>0</v>
      </c>
      <c r="Q109" s="169"/>
      <c r="R109" s="168"/>
      <c r="S109" s="113"/>
      <c r="T109" s="113"/>
      <c r="U109" s="168"/>
      <c r="V109" s="168">
        <f t="shared" si="24"/>
        <v>0</v>
      </c>
      <c r="W109" s="32">
        <f t="shared" si="25"/>
        <v>0</v>
      </c>
      <c r="X109" s="32">
        <f t="shared" si="26"/>
        <v>0</v>
      </c>
      <c r="Y109" s="96"/>
      <c r="AD109" s="96"/>
      <c r="AE109"/>
      <c r="AF109"/>
      <c r="AH109" s="99">
        <v>89</v>
      </c>
      <c r="AI109" s="113" t="s">
        <v>4564</v>
      </c>
      <c r="AJ109" s="113">
        <v>10000000</v>
      </c>
      <c r="AK109" s="99">
        <v>4</v>
      </c>
      <c r="AL109" s="99">
        <f t="shared" si="27"/>
        <v>284</v>
      </c>
      <c r="AM109" s="117">
        <f t="shared" si="11"/>
        <v>2840000000</v>
      </c>
      <c r="AN109" s="99"/>
    </row>
    <row r="110" spans="4:47">
      <c r="F110" s="213">
        <f>$L$115/G110</f>
        <v>5153.1671858774662</v>
      </c>
      <c r="G110" s="213">
        <f>P48</f>
        <v>770.4</v>
      </c>
      <c r="H110" s="213" t="s">
        <v>4666</v>
      </c>
      <c r="I110" s="213" t="s">
        <v>4665</v>
      </c>
      <c r="J110" s="32" t="s">
        <v>4399</v>
      </c>
      <c r="K110" s="213">
        <v>43</v>
      </c>
      <c r="L110" s="1">
        <f t="shared" si="28"/>
        <v>170710000</v>
      </c>
      <c r="M110" s="1">
        <f>N48+N26</f>
        <v>192247927.19999999</v>
      </c>
      <c r="N110" s="113">
        <f t="shared" si="29"/>
        <v>-21537927.199999988</v>
      </c>
      <c r="Q110" s="113">
        <f>SUM(N29:N34)-SUM(Q78:Q109)</f>
        <v>37229678.199999988</v>
      </c>
      <c r="R110" s="168"/>
      <c r="S110" s="168"/>
      <c r="T110" s="168"/>
      <c r="U110" s="168"/>
      <c r="V110" s="168"/>
      <c r="W110" s="32"/>
      <c r="X110" s="32"/>
      <c r="AH110" s="99">
        <v>90</v>
      </c>
      <c r="AI110" s="113" t="s">
        <v>4566</v>
      </c>
      <c r="AJ110" s="113">
        <v>-5241937</v>
      </c>
      <c r="AK110" s="99">
        <v>0</v>
      </c>
      <c r="AL110" s="99">
        <f t="shared" si="27"/>
        <v>280</v>
      </c>
      <c r="AM110" s="117">
        <f t="shared" si="11"/>
        <v>-1467742360</v>
      </c>
      <c r="AN110" s="99"/>
    </row>
    <row r="111" spans="4:47">
      <c r="F111" s="199"/>
      <c r="G111" s="199"/>
      <c r="H111" s="199"/>
      <c r="I111" s="199"/>
      <c r="J111" s="214" t="s">
        <v>4642</v>
      </c>
      <c r="K111" s="199">
        <v>1</v>
      </c>
      <c r="L111" s="215">
        <f t="shared" si="28"/>
        <v>3970000</v>
      </c>
      <c r="M111" s="215">
        <f>0</f>
        <v>0</v>
      </c>
      <c r="N111" s="183">
        <f t="shared" si="29"/>
        <v>3970000</v>
      </c>
      <c r="R111" s="115"/>
      <c r="S111" s="115"/>
      <c r="T111" s="115" t="s">
        <v>25</v>
      </c>
      <c r="U111" s="115"/>
      <c r="V111" s="115" t="s">
        <v>25</v>
      </c>
      <c r="W111" s="194" t="s">
        <v>25</v>
      </c>
      <c r="X111" s="194"/>
      <c r="AH111" s="99">
        <v>91</v>
      </c>
      <c r="AI111" s="113" t="s">
        <v>4566</v>
      </c>
      <c r="AJ111" s="113">
        <v>21900000</v>
      </c>
      <c r="AK111" s="99">
        <v>2</v>
      </c>
      <c r="AL111" s="99">
        <f t="shared" si="27"/>
        <v>280</v>
      </c>
      <c r="AM111" s="117">
        <f t="shared" si="11"/>
        <v>6132000000</v>
      </c>
      <c r="AN111" s="99"/>
      <c r="AP111" t="s">
        <v>25</v>
      </c>
      <c r="AU111"/>
    </row>
    <row r="112" spans="4:47">
      <c r="F112" s="191"/>
      <c r="G112" s="191"/>
      <c r="H112" s="191"/>
      <c r="I112" s="191"/>
      <c r="J112" s="257" t="s">
        <v>5340</v>
      </c>
      <c r="K112" s="191">
        <v>214</v>
      </c>
      <c r="L112" s="258">
        <f t="shared" si="28"/>
        <v>849580000</v>
      </c>
      <c r="M112" s="258">
        <v>0</v>
      </c>
      <c r="N112" s="86">
        <f>L112-M112</f>
        <v>849580000</v>
      </c>
      <c r="Q112" s="99" t="s">
        <v>948</v>
      </c>
      <c r="R112" s="99">
        <v>1.03E-2</v>
      </c>
      <c r="S112" s="26" t="s">
        <v>25</v>
      </c>
      <c r="T112" t="s">
        <v>25</v>
      </c>
      <c r="U112" s="96" t="s">
        <v>25</v>
      </c>
      <c r="V112" s="115" t="s">
        <v>25</v>
      </c>
      <c r="W112" s="194" t="s">
        <v>25</v>
      </c>
      <c r="X112" s="194"/>
      <c r="Y112">
        <v>13000</v>
      </c>
      <c r="AH112" s="99">
        <v>92</v>
      </c>
      <c r="AI112" s="113" t="s">
        <v>4574</v>
      </c>
      <c r="AJ112" s="113">
        <v>-15000000</v>
      </c>
      <c r="AK112" s="99">
        <v>0</v>
      </c>
      <c r="AL112" s="99">
        <f t="shared" si="27"/>
        <v>278</v>
      </c>
      <c r="AM112" s="117">
        <f t="shared" si="11"/>
        <v>-4170000000</v>
      </c>
      <c r="AN112" s="99"/>
      <c r="AO112" t="s">
        <v>25</v>
      </c>
    </row>
    <row r="113" spans="6:46">
      <c r="F113" s="213"/>
      <c r="G113" s="213"/>
      <c r="H113" s="213"/>
      <c r="I113" s="213"/>
      <c r="J113" s="32" t="s">
        <v>4748</v>
      </c>
      <c r="K113" s="213"/>
      <c r="L113" s="1"/>
      <c r="M113" s="1"/>
      <c r="N113" s="113">
        <v>30000000</v>
      </c>
      <c r="O113" t="s">
        <v>25</v>
      </c>
      <c r="Q113" s="99" t="s">
        <v>61</v>
      </c>
      <c r="R113" s="99">
        <v>4.8999999999999998E-3</v>
      </c>
      <c r="T113" t="s">
        <v>25</v>
      </c>
      <c r="U113" s="96" t="s">
        <v>25</v>
      </c>
      <c r="V113" t="s">
        <v>25</v>
      </c>
      <c r="W113" s="194" t="s">
        <v>25</v>
      </c>
      <c r="X113" s="194"/>
      <c r="Y113" t="s">
        <v>25</v>
      </c>
      <c r="AH113" s="99">
        <v>93</v>
      </c>
      <c r="AI113" s="113" t="s">
        <v>4574</v>
      </c>
      <c r="AJ113" s="113">
        <v>3000000</v>
      </c>
      <c r="AK113" s="99">
        <v>1</v>
      </c>
      <c r="AL113" s="99">
        <f t="shared" si="27"/>
        <v>278</v>
      </c>
      <c r="AM113" s="117">
        <f t="shared" si="11"/>
        <v>834000000</v>
      </c>
      <c r="AN113" s="99"/>
    </row>
    <row r="114" spans="6:46">
      <c r="F114" s="199"/>
      <c r="G114" s="199"/>
      <c r="H114" s="199"/>
      <c r="I114" s="199"/>
      <c r="J114" s="214" t="s">
        <v>5126</v>
      </c>
      <c r="K114" s="199">
        <f>SUM(K107:K112)</f>
        <v>433</v>
      </c>
      <c r="L114" s="215"/>
      <c r="M114" s="215"/>
      <c r="N114" s="183"/>
      <c r="Q114" s="99" t="s">
        <v>6</v>
      </c>
      <c r="R114" s="99">
        <f>R112+R113</f>
        <v>1.52E-2</v>
      </c>
      <c r="T114" t="s">
        <v>25</v>
      </c>
      <c r="U114" s="96" t="s">
        <v>25</v>
      </c>
      <c r="V114" t="s">
        <v>25</v>
      </c>
      <c r="W114" s="194"/>
      <c r="X114" s="194"/>
      <c r="Y114" t="s">
        <v>25</v>
      </c>
      <c r="AH114" s="99">
        <v>94</v>
      </c>
      <c r="AI114" s="113" t="s">
        <v>4578</v>
      </c>
      <c r="AJ114" s="113">
        <v>-2103736</v>
      </c>
      <c r="AK114" s="99">
        <v>0</v>
      </c>
      <c r="AL114" s="99">
        <f t="shared" si="27"/>
        <v>277</v>
      </c>
      <c r="AM114" s="117">
        <f t="shared" si="11"/>
        <v>-582734872</v>
      </c>
      <c r="AN114" s="99"/>
    </row>
    <row r="115" spans="6:46">
      <c r="F115" s="213"/>
      <c r="G115" s="213"/>
      <c r="H115" s="213" t="s">
        <v>25</v>
      </c>
      <c r="I115" s="213"/>
      <c r="J115" s="32"/>
      <c r="K115" s="213">
        <v>0</v>
      </c>
      <c r="L115" s="39">
        <f>10*P54</f>
        <v>3970000</v>
      </c>
      <c r="M115" s="1">
        <f>K115*L115</f>
        <v>0</v>
      </c>
      <c r="N115" s="113">
        <f>SUM(N107:N113)-M115</f>
        <v>23912135.799999952</v>
      </c>
      <c r="P115" s="114"/>
      <c r="W115" s="194"/>
      <c r="X115" s="194"/>
      <c r="AH115" s="99">
        <v>95</v>
      </c>
      <c r="AI115" s="113" t="s">
        <v>4578</v>
      </c>
      <c r="AJ115" s="113">
        <v>220000</v>
      </c>
      <c r="AK115" s="99">
        <v>3</v>
      </c>
      <c r="AL115" s="99">
        <f t="shared" si="27"/>
        <v>277</v>
      </c>
      <c r="AM115" s="117">
        <f t="shared" si="11"/>
        <v>60940000</v>
      </c>
      <c r="AN115" s="99"/>
      <c r="AR115" s="96"/>
      <c r="AS115" s="96"/>
      <c r="AT115"/>
    </row>
    <row r="116" spans="6:46" ht="30">
      <c r="F116" s="199"/>
      <c r="G116" s="199"/>
      <c r="H116" s="199"/>
      <c r="I116" s="199"/>
      <c r="J116" s="214"/>
      <c r="K116" s="244"/>
      <c r="L116" s="215" t="s">
        <v>4245</v>
      </c>
      <c r="M116" s="215" t="s">
        <v>4650</v>
      </c>
      <c r="N116" s="183" t="s">
        <v>4651</v>
      </c>
      <c r="Q116" s="73" t="s">
        <v>4287</v>
      </c>
      <c r="R116" s="112"/>
      <c r="S116" s="112"/>
      <c r="T116" s="112"/>
      <c r="U116" s="168" t="s">
        <v>4354</v>
      </c>
      <c r="V116" s="36" t="s">
        <v>4356</v>
      </c>
      <c r="W116" s="32"/>
      <c r="X116" s="32"/>
      <c r="Y116">
        <v>23000</v>
      </c>
      <c r="AH116" s="99">
        <v>96</v>
      </c>
      <c r="AI116" s="113" t="s">
        <v>4587</v>
      </c>
      <c r="AJ116" s="113">
        <v>4000000</v>
      </c>
      <c r="AK116" s="99">
        <v>1</v>
      </c>
      <c r="AL116" s="99">
        <f t="shared" si="27"/>
        <v>274</v>
      </c>
      <c r="AM116" s="117">
        <f t="shared" si="11"/>
        <v>1096000000</v>
      </c>
      <c r="AN116" s="99"/>
    </row>
    <row r="117" spans="6:46">
      <c r="F117" s="213"/>
      <c r="G117" s="213"/>
      <c r="H117" s="213"/>
      <c r="I117" s="213"/>
      <c r="J117" s="32" t="s">
        <v>4657</v>
      </c>
      <c r="K117" s="213"/>
      <c r="L117" s="1"/>
      <c r="M117" s="1"/>
      <c r="N117" s="113"/>
      <c r="Q117" s="112" t="s">
        <v>267</v>
      </c>
      <c r="R117" s="112" t="s">
        <v>180</v>
      </c>
      <c r="S117" s="112" t="s">
        <v>183</v>
      </c>
      <c r="T117" s="112" t="s">
        <v>8</v>
      </c>
      <c r="U117" s="168"/>
      <c r="V117" s="99"/>
      <c r="W117" s="32">
        <v>2</v>
      </c>
      <c r="X117" s="32">
        <v>4</v>
      </c>
      <c r="Y117">
        <v>6000</v>
      </c>
      <c r="AH117" s="99">
        <v>97</v>
      </c>
      <c r="AI117" s="113" t="s">
        <v>4592</v>
      </c>
      <c r="AJ117" s="113">
        <v>-9000000</v>
      </c>
      <c r="AK117" s="99">
        <v>0</v>
      </c>
      <c r="AL117" s="99">
        <f t="shared" si="27"/>
        <v>273</v>
      </c>
      <c r="AM117" s="117">
        <f t="shared" si="11"/>
        <v>-2457000000</v>
      </c>
      <c r="AN117" s="99"/>
      <c r="AP117" t="s">
        <v>25</v>
      </c>
    </row>
    <row r="118" spans="6:46">
      <c r="M118" t="s">
        <v>25</v>
      </c>
      <c r="Q118" s="35">
        <v>184971545</v>
      </c>
      <c r="R118" s="5" t="s">
        <v>4168</v>
      </c>
      <c r="S118" s="5">
        <v>386</v>
      </c>
      <c r="T118" s="5" t="s">
        <v>4337</v>
      </c>
      <c r="U118" s="168">
        <v>192</v>
      </c>
      <c r="V118" s="99">
        <f t="shared" ref="V118:V149" si="30">U118*(1+$R$114+$Q$15*S118/36500)</f>
        <v>251.77144109589042</v>
      </c>
      <c r="W118" s="32">
        <f t="shared" ref="W118:W134" si="31">V118*(1+$W$19/100)</f>
        <v>256.80686991780823</v>
      </c>
      <c r="X118" s="32">
        <f t="shared" ref="X118:X134" si="32">V118*(1+$X$19/100)</f>
        <v>261.84229873972606</v>
      </c>
      <c r="AH118" s="99">
        <v>98</v>
      </c>
      <c r="AI118" s="113" t="s">
        <v>4592</v>
      </c>
      <c r="AJ118" s="113">
        <v>13900000</v>
      </c>
      <c r="AK118" s="99">
        <v>2</v>
      </c>
      <c r="AL118" s="99">
        <f t="shared" si="27"/>
        <v>273</v>
      </c>
      <c r="AM118" s="117">
        <f t="shared" si="11"/>
        <v>3794700000</v>
      </c>
      <c r="AN118" s="99"/>
    </row>
    <row r="119" spans="6:46">
      <c r="P119" s="114"/>
      <c r="Q119" s="35">
        <v>9560464</v>
      </c>
      <c r="R119" s="5" t="s">
        <v>4291</v>
      </c>
      <c r="S119" s="5">
        <f>S118-31</f>
        <v>355</v>
      </c>
      <c r="T119" s="5" t="s">
        <v>4304</v>
      </c>
      <c r="U119" s="168">
        <v>214.57</v>
      </c>
      <c r="V119" s="99">
        <f t="shared" si="30"/>
        <v>276.26504756164383</v>
      </c>
      <c r="W119" s="32">
        <f t="shared" si="31"/>
        <v>281.79034851287673</v>
      </c>
      <c r="X119" s="32">
        <f t="shared" si="32"/>
        <v>287.31564946410958</v>
      </c>
      <c r="Y119">
        <v>3300</v>
      </c>
      <c r="AH119" s="99">
        <v>99</v>
      </c>
      <c r="AI119" s="113" t="s">
        <v>4601</v>
      </c>
      <c r="AJ119" s="113">
        <v>-8127577</v>
      </c>
      <c r="AK119" s="99">
        <v>1</v>
      </c>
      <c r="AL119" s="99">
        <f t="shared" si="27"/>
        <v>271</v>
      </c>
      <c r="AM119" s="117">
        <f t="shared" si="11"/>
        <v>-2202573367</v>
      </c>
      <c r="AN119" s="99"/>
      <c r="AO119" t="s">
        <v>25</v>
      </c>
      <c r="AQ119" t="s">
        <v>25</v>
      </c>
    </row>
    <row r="120" spans="6:46">
      <c r="K120" s="168" t="s">
        <v>4526</v>
      </c>
      <c r="L120" s="168" t="s">
        <v>4527</v>
      </c>
      <c r="M120" s="168" t="s">
        <v>4422</v>
      </c>
      <c r="N120" s="56" t="s">
        <v>190</v>
      </c>
      <c r="Q120" s="35">
        <v>2000000</v>
      </c>
      <c r="R120" s="5" t="s">
        <v>4334</v>
      </c>
      <c r="S120" s="5">
        <f>S119-11</f>
        <v>344</v>
      </c>
      <c r="T120" s="5" t="s">
        <v>4336</v>
      </c>
      <c r="U120" s="168">
        <v>206.8</v>
      </c>
      <c r="V120" s="99">
        <f t="shared" si="30"/>
        <v>264.51589698630141</v>
      </c>
      <c r="W120" s="32">
        <f t="shared" si="31"/>
        <v>269.80621492602745</v>
      </c>
      <c r="X120" s="32">
        <f t="shared" si="32"/>
        <v>275.09653286575349</v>
      </c>
      <c r="AH120" s="99">
        <v>100</v>
      </c>
      <c r="AI120" s="113" t="s">
        <v>3689</v>
      </c>
      <c r="AJ120" s="113">
        <v>15792549</v>
      </c>
      <c r="AK120" s="99">
        <v>3</v>
      </c>
      <c r="AL120" s="99">
        <f t="shared" si="27"/>
        <v>270</v>
      </c>
      <c r="AM120" s="117">
        <f t="shared" si="11"/>
        <v>4263988230</v>
      </c>
      <c r="AN120" s="99"/>
      <c r="AO120" t="s">
        <v>25</v>
      </c>
      <c r="AP120" t="s">
        <v>25</v>
      </c>
    </row>
    <row r="121" spans="6:46">
      <c r="H121" s="114"/>
      <c r="K121" s="168" t="s">
        <v>4235</v>
      </c>
      <c r="L121" s="169">
        <v>1100000</v>
      </c>
      <c r="M121" s="169">
        <v>1637000</v>
      </c>
      <c r="N121" s="168">
        <f t="shared" ref="N121:N129" si="33">(M121-L121)*100/L121</f>
        <v>48.81818181818182</v>
      </c>
      <c r="Q121" s="35">
        <v>1429825</v>
      </c>
      <c r="R121" s="5" t="s">
        <v>4363</v>
      </c>
      <c r="S121" s="5">
        <f>S120-7</f>
        <v>337</v>
      </c>
      <c r="T121" s="5" t="s">
        <v>4372</v>
      </c>
      <c r="U121" s="168">
        <v>203.9</v>
      </c>
      <c r="V121" s="99">
        <f t="shared" si="30"/>
        <v>259.71161972602744</v>
      </c>
      <c r="W121" s="32">
        <f t="shared" si="31"/>
        <v>264.90585212054799</v>
      </c>
      <c r="X121" s="32">
        <f t="shared" si="32"/>
        <v>270.10008451506854</v>
      </c>
      <c r="AH121" s="99">
        <v>101</v>
      </c>
      <c r="AI121" s="113" t="s">
        <v>4606</v>
      </c>
      <c r="AJ121" s="113">
        <v>8800000</v>
      </c>
      <c r="AK121" s="99">
        <v>0</v>
      </c>
      <c r="AL121" s="99">
        <f t="shared" ref="AL121:AL125" si="34">AL122+AK121</f>
        <v>267</v>
      </c>
      <c r="AM121" s="117">
        <f t="shared" ref="AM121:AM144" si="35">AJ121*AL121</f>
        <v>2349600000</v>
      </c>
      <c r="AN121" s="99"/>
      <c r="AP121" t="s">
        <v>25</v>
      </c>
    </row>
    <row r="122" spans="6:46" ht="45">
      <c r="F122" s="96"/>
      <c r="G122" s="213"/>
      <c r="H122" s="213" t="s">
        <v>5311</v>
      </c>
      <c r="I122" s="213" t="s">
        <v>5299</v>
      </c>
      <c r="J122" s="1">
        <v>22404873</v>
      </c>
      <c r="K122" s="5" t="s">
        <v>4521</v>
      </c>
      <c r="L122" s="169">
        <v>1100000</v>
      </c>
      <c r="M122" s="169">
        <v>4748000</v>
      </c>
      <c r="N122" s="168">
        <f t="shared" si="33"/>
        <v>331.63636363636363</v>
      </c>
      <c r="Q122" s="35">
        <v>1420747</v>
      </c>
      <c r="R122" s="5" t="s">
        <v>4363</v>
      </c>
      <c r="S122" s="5">
        <f>S121</f>
        <v>337</v>
      </c>
      <c r="T122" s="5" t="s">
        <v>4374</v>
      </c>
      <c r="U122" s="168">
        <v>203.1</v>
      </c>
      <c r="V122" s="99">
        <f t="shared" si="30"/>
        <v>258.69264328767127</v>
      </c>
      <c r="W122" s="32">
        <f t="shared" si="31"/>
        <v>263.86649615342469</v>
      </c>
      <c r="X122" s="32">
        <f t="shared" si="32"/>
        <v>269.04034901917811</v>
      </c>
      <c r="Y122" t="s">
        <v>25</v>
      </c>
      <c r="AH122" s="121">
        <v>102</v>
      </c>
      <c r="AI122" s="79" t="s">
        <v>4606</v>
      </c>
      <c r="AJ122" s="79">
        <v>13071612</v>
      </c>
      <c r="AK122" s="121">
        <v>1</v>
      </c>
      <c r="AL122" s="121">
        <f t="shared" si="34"/>
        <v>267</v>
      </c>
      <c r="AM122" s="79">
        <f t="shared" si="35"/>
        <v>3490120404</v>
      </c>
      <c r="AN122" s="205" t="s">
        <v>4607</v>
      </c>
    </row>
    <row r="123" spans="6:46">
      <c r="F123" s="96"/>
      <c r="G123" s="213" t="s">
        <v>940</v>
      </c>
      <c r="H123" s="213" t="s">
        <v>4526</v>
      </c>
      <c r="I123" s="213" t="s">
        <v>936</v>
      </c>
      <c r="J123" s="213" t="s">
        <v>4746</v>
      </c>
      <c r="K123" s="5" t="s">
        <v>4522</v>
      </c>
      <c r="L123" s="169">
        <v>1100000</v>
      </c>
      <c r="M123" s="169">
        <v>5137000</v>
      </c>
      <c r="N123" s="168">
        <f t="shared" si="33"/>
        <v>367</v>
      </c>
      <c r="Q123" s="35">
        <v>2010885</v>
      </c>
      <c r="R123" s="5" t="s">
        <v>4383</v>
      </c>
      <c r="S123" s="5">
        <f>S122-3</f>
        <v>334</v>
      </c>
      <c r="T123" s="5" t="s">
        <v>4388</v>
      </c>
      <c r="U123" s="168">
        <v>202.1</v>
      </c>
      <c r="V123" s="99">
        <f t="shared" si="30"/>
        <v>256.95381589041097</v>
      </c>
      <c r="W123" s="32">
        <f t="shared" si="31"/>
        <v>262.09289220821921</v>
      </c>
      <c r="X123" s="32">
        <f t="shared" si="32"/>
        <v>267.2319685260274</v>
      </c>
      <c r="Y123" t="s">
        <v>25</v>
      </c>
      <c r="AH123" s="89">
        <v>103</v>
      </c>
      <c r="AI123" s="90" t="s">
        <v>4610</v>
      </c>
      <c r="AJ123" s="90">
        <v>16727037</v>
      </c>
      <c r="AK123" s="89">
        <v>0</v>
      </c>
      <c r="AL123" s="89">
        <f t="shared" si="34"/>
        <v>266</v>
      </c>
      <c r="AM123" s="90">
        <f t="shared" si="35"/>
        <v>4449391842</v>
      </c>
      <c r="AN123" s="89" t="s">
        <v>4617</v>
      </c>
    </row>
    <row r="124" spans="6:46">
      <c r="F124" s="96"/>
      <c r="G124" s="1">
        <f>P52</f>
        <v>305.39999999999998</v>
      </c>
      <c r="H124" s="213" t="s">
        <v>4235</v>
      </c>
      <c r="I124" s="213">
        <v>137827</v>
      </c>
      <c r="J124" s="1">
        <f>I124*G124</f>
        <v>42092365.799999997</v>
      </c>
      <c r="K124" s="19" t="s">
        <v>4381</v>
      </c>
      <c r="L124" s="169">
        <v>1100000</v>
      </c>
      <c r="M124" s="169">
        <v>4300000</v>
      </c>
      <c r="N124" s="168">
        <f t="shared" si="33"/>
        <v>290.90909090909093</v>
      </c>
      <c r="P124" s="114"/>
      <c r="Q124" s="35">
        <v>444</v>
      </c>
      <c r="R124" s="5" t="s">
        <v>4393</v>
      </c>
      <c r="S124" s="5">
        <f>S123-3</f>
        <v>331</v>
      </c>
      <c r="T124" s="5" t="s">
        <v>4594</v>
      </c>
      <c r="U124" s="168">
        <v>441.8</v>
      </c>
      <c r="V124" s="99">
        <f t="shared" si="30"/>
        <v>560.69624767123298</v>
      </c>
      <c r="W124" s="32">
        <f t="shared" si="31"/>
        <v>571.91017262465766</v>
      </c>
      <c r="X124" s="32">
        <f t="shared" si="32"/>
        <v>583.12409757808234</v>
      </c>
      <c r="Y124" s="122" t="s">
        <v>25</v>
      </c>
      <c r="AH124" s="99">
        <v>104</v>
      </c>
      <c r="AI124" s="113" t="s">
        <v>4610</v>
      </c>
      <c r="AJ124" s="113">
        <v>12000000</v>
      </c>
      <c r="AK124" s="99">
        <v>1</v>
      </c>
      <c r="AL124" s="99">
        <f t="shared" si="34"/>
        <v>266</v>
      </c>
      <c r="AM124" s="117">
        <f t="shared" si="35"/>
        <v>3192000000</v>
      </c>
      <c r="AN124" s="99" t="s">
        <v>4618</v>
      </c>
    </row>
    <row r="125" spans="6:46">
      <c r="F125" s="96"/>
      <c r="G125" s="1">
        <f>P48</f>
        <v>770.4</v>
      </c>
      <c r="H125" s="213" t="s">
        <v>4399</v>
      </c>
      <c r="I125" s="213">
        <v>1205</v>
      </c>
      <c r="J125" s="1">
        <f t="shared" ref="J125:J126" si="36">I125*G125</f>
        <v>928332</v>
      </c>
      <c r="K125" s="5" t="s">
        <v>4399</v>
      </c>
      <c r="L125" s="169">
        <v>1100000</v>
      </c>
      <c r="M125" s="169">
        <v>3191000</v>
      </c>
      <c r="N125" s="168">
        <f t="shared" si="33"/>
        <v>190.09090909090909</v>
      </c>
      <c r="Q125" s="35">
        <v>1971103</v>
      </c>
      <c r="R125" s="5" t="s">
        <v>4404</v>
      </c>
      <c r="S125" s="5">
        <f>S124-1</f>
        <v>330</v>
      </c>
      <c r="T125" s="5" t="s">
        <v>4405</v>
      </c>
      <c r="U125" s="168">
        <v>196.2</v>
      </c>
      <c r="V125" s="99">
        <f t="shared" si="30"/>
        <v>248.85040438356165</v>
      </c>
      <c r="W125" s="32">
        <f t="shared" si="31"/>
        <v>253.82741247123289</v>
      </c>
      <c r="X125" s="32">
        <f t="shared" si="32"/>
        <v>258.80442055890416</v>
      </c>
      <c r="AH125" s="89">
        <v>105</v>
      </c>
      <c r="AI125" s="90" t="s">
        <v>4537</v>
      </c>
      <c r="AJ125" s="90">
        <v>88697667</v>
      </c>
      <c r="AK125" s="89">
        <v>1</v>
      </c>
      <c r="AL125" s="89">
        <f t="shared" si="34"/>
        <v>265</v>
      </c>
      <c r="AM125" s="90">
        <f t="shared" si="35"/>
        <v>23504881755</v>
      </c>
      <c r="AN125" s="89" t="s">
        <v>4619</v>
      </c>
      <c r="AP125" t="s">
        <v>25</v>
      </c>
    </row>
    <row r="126" spans="6:46">
      <c r="F126" s="96"/>
      <c r="G126" s="1">
        <f>P49</f>
        <v>6699.7</v>
      </c>
      <c r="H126" s="213" t="s">
        <v>4385</v>
      </c>
      <c r="I126" s="213">
        <v>1399</v>
      </c>
      <c r="J126" s="1">
        <f t="shared" si="36"/>
        <v>9372880.2999999989</v>
      </c>
      <c r="K126" s="5" t="s">
        <v>4523</v>
      </c>
      <c r="L126" s="169">
        <v>1100000</v>
      </c>
      <c r="M126" s="169">
        <v>5623000</v>
      </c>
      <c r="N126" s="168">
        <f t="shared" si="33"/>
        <v>411.18181818181819</v>
      </c>
      <c r="Q126" s="35">
        <v>1049856</v>
      </c>
      <c r="R126" s="5" t="s">
        <v>4424</v>
      </c>
      <c r="S126" s="5">
        <f>S125-6</f>
        <v>324</v>
      </c>
      <c r="T126" s="5" t="s">
        <v>4462</v>
      </c>
      <c r="U126" s="168">
        <v>184.5</v>
      </c>
      <c r="V126" s="99">
        <f t="shared" si="30"/>
        <v>233.16149589041098</v>
      </c>
      <c r="W126" s="32">
        <f t="shared" si="31"/>
        <v>237.8247258082192</v>
      </c>
      <c r="X126" s="32">
        <f t="shared" si="32"/>
        <v>242.48795572602742</v>
      </c>
      <c r="Y126" t="s">
        <v>25</v>
      </c>
      <c r="AH126" s="99">
        <v>106</v>
      </c>
      <c r="AI126" s="113" t="s">
        <v>4540</v>
      </c>
      <c r="AJ126" s="113">
        <v>101000</v>
      </c>
      <c r="AK126" s="99">
        <v>0</v>
      </c>
      <c r="AL126" s="99">
        <f>AL127+AK126</f>
        <v>264</v>
      </c>
      <c r="AM126" s="117">
        <f t="shared" si="35"/>
        <v>26664000</v>
      </c>
      <c r="AN126" s="99"/>
      <c r="AQ126" t="s">
        <v>25</v>
      </c>
    </row>
    <row r="127" spans="6:46">
      <c r="F127" s="96"/>
      <c r="G127" s="1"/>
      <c r="H127" s="213" t="s">
        <v>25</v>
      </c>
      <c r="I127" s="213"/>
      <c r="J127" s="1"/>
      <c r="K127" s="19" t="s">
        <v>4385</v>
      </c>
      <c r="L127" s="169">
        <v>1100000</v>
      </c>
      <c r="M127" s="169">
        <v>7728000</v>
      </c>
      <c r="N127" s="168">
        <f t="shared" si="33"/>
        <v>602.5454545454545</v>
      </c>
      <c r="Q127" s="35">
        <v>1783234</v>
      </c>
      <c r="R127" s="5" t="s">
        <v>4426</v>
      </c>
      <c r="S127" s="5">
        <f>S126-2</f>
        <v>322</v>
      </c>
      <c r="T127" s="5" t="s">
        <v>4427</v>
      </c>
      <c r="U127" s="168">
        <v>177.5</v>
      </c>
      <c r="V127" s="99">
        <f t="shared" si="30"/>
        <v>224.04293150684933</v>
      </c>
      <c r="W127" s="32">
        <f t="shared" si="31"/>
        <v>228.52379013698632</v>
      </c>
      <c r="X127" s="32">
        <f t="shared" si="32"/>
        <v>233.00464876712331</v>
      </c>
      <c r="AH127" s="149">
        <v>107</v>
      </c>
      <c r="AI127" s="188" t="s">
        <v>4616</v>
      </c>
      <c r="AJ127" s="188">
        <v>-48200</v>
      </c>
      <c r="AK127" s="149">
        <v>0</v>
      </c>
      <c r="AL127" s="149">
        <f t="shared" ref="AL127:AL177" si="37">AL128+AK127</f>
        <v>264</v>
      </c>
      <c r="AM127" s="188">
        <f t="shared" si="35"/>
        <v>-12724800</v>
      </c>
      <c r="AN127" s="149" t="s">
        <v>4625</v>
      </c>
    </row>
    <row r="128" spans="6:46">
      <c r="F128" s="96"/>
      <c r="G128" s="213"/>
      <c r="H128" s="213"/>
      <c r="I128" s="113">
        <f>J128-J122</f>
        <v>29988705.099999994</v>
      </c>
      <c r="J128" s="1">
        <f>SUM(J124:J127)</f>
        <v>52393578.099999994</v>
      </c>
      <c r="K128" s="5" t="s">
        <v>4525</v>
      </c>
      <c r="L128" s="169">
        <v>1100000</v>
      </c>
      <c r="M128" s="169">
        <v>2904000</v>
      </c>
      <c r="N128" s="168">
        <f t="shared" si="33"/>
        <v>164</v>
      </c>
      <c r="Q128" s="35">
        <v>1662335</v>
      </c>
      <c r="R128" s="5" t="s">
        <v>4430</v>
      </c>
      <c r="S128" s="5">
        <f>S127-5</f>
        <v>317</v>
      </c>
      <c r="T128" s="218" t="s">
        <v>4577</v>
      </c>
      <c r="U128" s="168">
        <v>190.3</v>
      </c>
      <c r="V128" s="99">
        <f t="shared" si="30"/>
        <v>239.46934904109594</v>
      </c>
      <c r="W128" s="32">
        <f t="shared" si="31"/>
        <v>244.25873602191785</v>
      </c>
      <c r="X128" s="32">
        <f t="shared" si="32"/>
        <v>249.04812300273977</v>
      </c>
      <c r="AH128" s="89">
        <v>108</v>
      </c>
      <c r="AI128" s="90" t="s">
        <v>4616</v>
      </c>
      <c r="AJ128" s="90">
        <v>39327293</v>
      </c>
      <c r="AK128" s="89">
        <v>4</v>
      </c>
      <c r="AL128" s="149">
        <f t="shared" si="37"/>
        <v>264</v>
      </c>
      <c r="AM128" s="188">
        <f t="shared" si="35"/>
        <v>10382405352</v>
      </c>
      <c r="AN128" s="89" t="s">
        <v>4626</v>
      </c>
    </row>
    <row r="129" spans="7:43">
      <c r="G129" s="213"/>
      <c r="H129" s="213"/>
      <c r="I129" s="213" t="s">
        <v>916</v>
      </c>
      <c r="J129" s="213" t="s">
        <v>6</v>
      </c>
      <c r="K129" s="263" t="s">
        <v>1084</v>
      </c>
      <c r="L129" s="169">
        <v>1100000</v>
      </c>
      <c r="M129" s="169">
        <v>3400000</v>
      </c>
      <c r="N129" s="168">
        <f t="shared" si="33"/>
        <v>209.09090909090909</v>
      </c>
      <c r="P129" s="114"/>
      <c r="Q129" s="35">
        <v>2272487</v>
      </c>
      <c r="R129" s="5" t="s">
        <v>4587</v>
      </c>
      <c r="S129" s="5">
        <f>S128-42</f>
        <v>275</v>
      </c>
      <c r="T129" s="5" t="s">
        <v>4588</v>
      </c>
      <c r="U129" s="168">
        <v>174.9</v>
      </c>
      <c r="V129" s="99">
        <f t="shared" si="30"/>
        <v>214.45519232876714</v>
      </c>
      <c r="W129" s="32">
        <f t="shared" si="31"/>
        <v>218.7442961753425</v>
      </c>
      <c r="X129" s="32">
        <f t="shared" si="32"/>
        <v>223.03340002191783</v>
      </c>
      <c r="Y129" t="s">
        <v>25</v>
      </c>
      <c r="AH129" s="89">
        <v>109</v>
      </c>
      <c r="AI129" s="90" t="s">
        <v>4640</v>
      </c>
      <c r="AJ129" s="90">
        <v>8749050</v>
      </c>
      <c r="AK129" s="89">
        <v>1</v>
      </c>
      <c r="AL129" s="89">
        <f t="shared" si="37"/>
        <v>260</v>
      </c>
      <c r="AM129" s="90">
        <f t="shared" si="35"/>
        <v>2274753000</v>
      </c>
      <c r="AN129" s="89" t="s">
        <v>4641</v>
      </c>
    </row>
    <row r="130" spans="7:43">
      <c r="G130" s="41"/>
      <c r="H130" s="41"/>
      <c r="I130" s="41"/>
      <c r="J130" s="41"/>
      <c r="K130" s="242" t="s">
        <v>4554</v>
      </c>
      <c r="Q130" s="35">
        <v>3975257</v>
      </c>
      <c r="R130" s="5" t="s">
        <v>4592</v>
      </c>
      <c r="S130" s="5">
        <f>S129-1</f>
        <v>274</v>
      </c>
      <c r="T130" s="5" t="s">
        <v>4593</v>
      </c>
      <c r="U130" s="168">
        <v>173</v>
      </c>
      <c r="V130" s="99">
        <f t="shared" si="30"/>
        <v>211.99277808219179</v>
      </c>
      <c r="W130" s="32">
        <f t="shared" si="31"/>
        <v>216.23263364383564</v>
      </c>
      <c r="X130" s="32">
        <f t="shared" si="32"/>
        <v>220.47248920547946</v>
      </c>
      <c r="Z130" t="s">
        <v>25</v>
      </c>
      <c r="AH130" s="99">
        <v>110</v>
      </c>
      <c r="AI130" s="113" t="s">
        <v>4643</v>
      </c>
      <c r="AJ130" s="113">
        <v>60000</v>
      </c>
      <c r="AK130" s="99">
        <v>1</v>
      </c>
      <c r="AL130" s="99">
        <f t="shared" si="37"/>
        <v>259</v>
      </c>
      <c r="AM130" s="117">
        <f t="shared" si="35"/>
        <v>15540000</v>
      </c>
      <c r="AN130" s="99" t="s">
        <v>4644</v>
      </c>
    </row>
    <row r="131" spans="7:43">
      <c r="G131" s="213"/>
      <c r="H131" s="213" t="s">
        <v>4273</v>
      </c>
      <c r="I131" s="213" t="s">
        <v>5227</v>
      </c>
      <c r="J131" s="1">
        <v>16319143</v>
      </c>
      <c r="K131" s="242" t="s">
        <v>4555</v>
      </c>
      <c r="Q131" s="35">
        <v>1031662</v>
      </c>
      <c r="R131" s="5" t="s">
        <v>4226</v>
      </c>
      <c r="S131" s="5">
        <f>S130-1</f>
        <v>273</v>
      </c>
      <c r="T131" s="5" t="s">
        <v>4596</v>
      </c>
      <c r="U131" s="168">
        <v>171.2</v>
      </c>
      <c r="V131" s="99">
        <f t="shared" si="30"/>
        <v>209.65574136986302</v>
      </c>
      <c r="W131" s="32">
        <f t="shared" si="31"/>
        <v>213.84885619726029</v>
      </c>
      <c r="X131" s="32">
        <f t="shared" si="32"/>
        <v>218.04197102465756</v>
      </c>
      <c r="Y131" t="s">
        <v>25</v>
      </c>
      <c r="AH131" s="20">
        <v>111</v>
      </c>
      <c r="AI131" s="117" t="s">
        <v>4652</v>
      </c>
      <c r="AJ131" s="117">
        <v>4750000</v>
      </c>
      <c r="AK131" s="20">
        <v>0</v>
      </c>
      <c r="AL131" s="99">
        <f t="shared" si="37"/>
        <v>258</v>
      </c>
      <c r="AM131" s="117">
        <f t="shared" si="35"/>
        <v>1225500000</v>
      </c>
      <c r="AN131" s="20"/>
      <c r="AQ131" t="s">
        <v>25</v>
      </c>
    </row>
    <row r="132" spans="7:43">
      <c r="G132" s="1">
        <f>P52</f>
        <v>305.39999999999998</v>
      </c>
      <c r="H132" s="213" t="s">
        <v>4235</v>
      </c>
      <c r="I132" s="213">
        <v>50896</v>
      </c>
      <c r="J132" s="1">
        <f>G132*I132</f>
        <v>15543638.399999999</v>
      </c>
      <c r="K132" s="242" t="s">
        <v>4556</v>
      </c>
      <c r="Q132" s="35">
        <v>577500</v>
      </c>
      <c r="R132" s="5" t="s">
        <v>4226</v>
      </c>
      <c r="S132" s="5">
        <f>S131</f>
        <v>273</v>
      </c>
      <c r="T132" s="5" t="s">
        <v>4600</v>
      </c>
      <c r="U132" s="168">
        <v>175</v>
      </c>
      <c r="V132" s="99">
        <f t="shared" si="30"/>
        <v>214.30931506849319</v>
      </c>
      <c r="W132" s="32">
        <f t="shared" si="31"/>
        <v>218.59550136986306</v>
      </c>
      <c r="X132" s="32">
        <f t="shared" si="32"/>
        <v>222.88168767123292</v>
      </c>
      <c r="Y132" t="s">
        <v>25</v>
      </c>
      <c r="AH132" s="89">
        <v>112</v>
      </c>
      <c r="AI132" s="90" t="s">
        <v>4652</v>
      </c>
      <c r="AJ132" s="90">
        <v>13101160</v>
      </c>
      <c r="AK132" s="89">
        <v>1</v>
      </c>
      <c r="AL132" s="89">
        <f t="shared" si="37"/>
        <v>258</v>
      </c>
      <c r="AM132" s="90">
        <f t="shared" si="35"/>
        <v>3380099280</v>
      </c>
      <c r="AN132" s="89" t="s">
        <v>4655</v>
      </c>
    </row>
    <row r="133" spans="7:43">
      <c r="G133" s="1">
        <f>P48</f>
        <v>770.4</v>
      </c>
      <c r="H133" s="213" t="s">
        <v>4399</v>
      </c>
      <c r="I133" s="213">
        <v>2304</v>
      </c>
      <c r="J133" s="1">
        <f t="shared" ref="J133:J134" si="38">G133*I133</f>
        <v>1775001.5999999999</v>
      </c>
      <c r="Q133" s="35">
        <v>12636487</v>
      </c>
      <c r="R133" s="5" t="s">
        <v>3689</v>
      </c>
      <c r="S133" s="5">
        <f>S132-2</f>
        <v>271</v>
      </c>
      <c r="T133" s="5" t="s">
        <v>4603</v>
      </c>
      <c r="U133" s="168">
        <v>172.1</v>
      </c>
      <c r="V133" s="99">
        <f t="shared" si="30"/>
        <v>210.49385972602741</v>
      </c>
      <c r="W133" s="32">
        <f t="shared" si="31"/>
        <v>214.70373692054795</v>
      </c>
      <c r="X133" s="32">
        <f t="shared" si="32"/>
        <v>218.91361411506853</v>
      </c>
      <c r="AH133" s="20">
        <v>113</v>
      </c>
      <c r="AI133" s="117" t="s">
        <v>4654</v>
      </c>
      <c r="AJ133" s="117">
        <v>-980000</v>
      </c>
      <c r="AK133" s="20">
        <v>0</v>
      </c>
      <c r="AL133" s="99">
        <f t="shared" si="37"/>
        <v>257</v>
      </c>
      <c r="AM133" s="117">
        <f t="shared" si="35"/>
        <v>-251860000</v>
      </c>
      <c r="AN133" s="20"/>
    </row>
    <row r="134" spans="7:43">
      <c r="G134" s="1">
        <f>P47</f>
        <v>5305.2</v>
      </c>
      <c r="H134" s="213" t="s">
        <v>4381</v>
      </c>
      <c r="I134" s="213">
        <v>715</v>
      </c>
      <c r="J134" s="1">
        <f t="shared" si="38"/>
        <v>3793218</v>
      </c>
      <c r="Q134" s="39">
        <v>11121445</v>
      </c>
      <c r="R134" s="5" t="s">
        <v>4606</v>
      </c>
      <c r="S134" s="5">
        <f>S133-3</f>
        <v>268</v>
      </c>
      <c r="T134" s="5" t="s">
        <v>4784</v>
      </c>
      <c r="U134" s="168">
        <v>171.8</v>
      </c>
      <c r="V134" s="99">
        <f t="shared" si="30"/>
        <v>209.73155726027403</v>
      </c>
      <c r="W134" s="32">
        <f t="shared" si="31"/>
        <v>213.92618840547951</v>
      </c>
      <c r="X134" s="32">
        <f t="shared" si="32"/>
        <v>218.12081955068501</v>
      </c>
      <c r="Y134" t="s">
        <v>25</v>
      </c>
      <c r="AH134" s="89">
        <v>114</v>
      </c>
      <c r="AI134" s="90" t="s">
        <v>4654</v>
      </c>
      <c r="AJ134" s="90">
        <v>13301790</v>
      </c>
      <c r="AK134" s="89">
        <v>0</v>
      </c>
      <c r="AL134" s="89">
        <f t="shared" si="37"/>
        <v>257</v>
      </c>
      <c r="AM134" s="90">
        <f t="shared" si="35"/>
        <v>3418560030</v>
      </c>
      <c r="AN134" s="89" t="s">
        <v>4655</v>
      </c>
      <c r="AQ134" t="s">
        <v>25</v>
      </c>
    </row>
    <row r="135" spans="7:43">
      <c r="G135" s="213"/>
      <c r="H135" s="213"/>
      <c r="I135" s="213" t="s">
        <v>25</v>
      </c>
      <c r="J135" s="213" t="s">
        <v>25</v>
      </c>
      <c r="Q135" s="35">
        <v>40048573</v>
      </c>
      <c r="R135" s="5" t="s">
        <v>4616</v>
      </c>
      <c r="S135" s="5">
        <f>S134-3</f>
        <v>265</v>
      </c>
      <c r="T135" s="5" t="s">
        <v>4620</v>
      </c>
      <c r="U135" s="168">
        <v>498.9</v>
      </c>
      <c r="V135" s="99">
        <f t="shared" si="30"/>
        <v>607.90349917808226</v>
      </c>
      <c r="W135" s="32">
        <f t="shared" ref="W135:W157" si="39">V135*(1+$W$19/100)</f>
        <v>620.06156916164389</v>
      </c>
      <c r="X135" s="32">
        <f t="shared" ref="X135:X157" si="40">V135*(1+$X$19/100)</f>
        <v>632.21963914520552</v>
      </c>
      <c r="AH135" s="20">
        <v>115</v>
      </c>
      <c r="AI135" s="117" t="s">
        <v>4654</v>
      </c>
      <c r="AJ135" s="117">
        <v>404000</v>
      </c>
      <c r="AK135" s="20">
        <v>5</v>
      </c>
      <c r="AL135" s="99">
        <f t="shared" si="37"/>
        <v>257</v>
      </c>
      <c r="AM135" s="117">
        <f t="shared" si="35"/>
        <v>103828000</v>
      </c>
      <c r="AN135" s="20" t="s">
        <v>4662</v>
      </c>
    </row>
    <row r="136" spans="7:43">
      <c r="G136" s="213"/>
      <c r="H136" s="213"/>
      <c r="I136" s="113">
        <f>J136-J131</f>
        <v>4792715</v>
      </c>
      <c r="J136" s="1">
        <f>SUM(J132:J135)</f>
        <v>21111858</v>
      </c>
      <c r="Q136" s="35">
        <v>559461</v>
      </c>
      <c r="R136" s="5" t="s">
        <v>4654</v>
      </c>
      <c r="S136" s="5">
        <f>S135-7</f>
        <v>258</v>
      </c>
      <c r="T136" s="5" t="s">
        <v>4661</v>
      </c>
      <c r="U136" s="210">
        <v>508.1</v>
      </c>
      <c r="V136" s="99">
        <f t="shared" si="30"/>
        <v>616.38515835616454</v>
      </c>
      <c r="W136" s="32">
        <f t="shared" si="39"/>
        <v>628.71286152328787</v>
      </c>
      <c r="X136" s="32">
        <f t="shared" si="40"/>
        <v>641.04056469041109</v>
      </c>
      <c r="Y136" t="s">
        <v>25</v>
      </c>
      <c r="AH136" s="89">
        <v>116</v>
      </c>
      <c r="AI136" s="90" t="s">
        <v>4677</v>
      </c>
      <c r="AJ136" s="90">
        <v>4291628</v>
      </c>
      <c r="AK136" s="89">
        <v>2</v>
      </c>
      <c r="AL136" s="89">
        <f t="shared" si="37"/>
        <v>252</v>
      </c>
      <c r="AM136" s="90">
        <f t="shared" si="35"/>
        <v>1081490256</v>
      </c>
      <c r="AN136" s="89" t="s">
        <v>4678</v>
      </c>
    </row>
    <row r="137" spans="7:43">
      <c r="G137" s="213"/>
      <c r="H137" s="213"/>
      <c r="I137" s="213" t="s">
        <v>916</v>
      </c>
      <c r="J137" s="213" t="s">
        <v>6</v>
      </c>
      <c r="K137" t="s">
        <v>25</v>
      </c>
      <c r="Q137" s="35">
        <v>622942</v>
      </c>
      <c r="R137" s="5" t="s">
        <v>4667</v>
      </c>
      <c r="S137" s="5">
        <f>S136-1</f>
        <v>257</v>
      </c>
      <c r="T137" s="5" t="s">
        <v>4668</v>
      </c>
      <c r="U137" s="210">
        <v>503.3</v>
      </c>
      <c r="V137" s="99">
        <f t="shared" si="30"/>
        <v>610.17609972602747</v>
      </c>
      <c r="W137" s="32">
        <f t="shared" si="39"/>
        <v>622.37962172054802</v>
      </c>
      <c r="X137" s="32">
        <f t="shared" si="40"/>
        <v>634.58314371506856</v>
      </c>
      <c r="Z137" t="s">
        <v>25</v>
      </c>
      <c r="AH137" s="20">
        <v>117</v>
      </c>
      <c r="AI137" s="117" t="s">
        <v>4680</v>
      </c>
      <c r="AJ137" s="117">
        <v>1000</v>
      </c>
      <c r="AK137" s="20">
        <v>5</v>
      </c>
      <c r="AL137" s="20">
        <f t="shared" si="37"/>
        <v>250</v>
      </c>
      <c r="AM137" s="117">
        <f t="shared" si="35"/>
        <v>250000</v>
      </c>
      <c r="AN137" s="20"/>
    </row>
    <row r="138" spans="7:43">
      <c r="G138" s="41"/>
      <c r="H138" s="41"/>
      <c r="I138" s="41"/>
      <c r="J138" s="41"/>
      <c r="M138">
        <v>236</v>
      </c>
      <c r="N138">
        <v>3</v>
      </c>
      <c r="O138">
        <f>M138*N138</f>
        <v>708</v>
      </c>
      <c r="Q138" s="35">
        <v>1472140</v>
      </c>
      <c r="R138" s="5" t="s">
        <v>4673</v>
      </c>
      <c r="S138" s="5">
        <f>S137-3</f>
        <v>254</v>
      </c>
      <c r="T138" s="5" t="s">
        <v>4675</v>
      </c>
      <c r="U138" s="168">
        <v>502</v>
      </c>
      <c r="V138" s="99">
        <f t="shared" si="30"/>
        <v>607.44475616438365</v>
      </c>
      <c r="W138" s="32">
        <f t="shared" si="39"/>
        <v>619.59365128767138</v>
      </c>
      <c r="X138" s="32">
        <f t="shared" si="40"/>
        <v>631.74254641095899</v>
      </c>
      <c r="Y138" t="s">
        <v>25</v>
      </c>
      <c r="AH138" s="121">
        <v>118</v>
      </c>
      <c r="AI138" s="79" t="s">
        <v>4688</v>
      </c>
      <c r="AJ138" s="79">
        <v>8739459</v>
      </c>
      <c r="AK138" s="121">
        <v>2</v>
      </c>
      <c r="AL138" s="121">
        <f t="shared" si="37"/>
        <v>245</v>
      </c>
      <c r="AM138" s="79">
        <f t="shared" si="35"/>
        <v>2141167455</v>
      </c>
      <c r="AN138" s="121" t="s">
        <v>4641</v>
      </c>
    </row>
    <row r="139" spans="7:43">
      <c r="G139" s="213"/>
      <c r="H139" s="213" t="s">
        <v>5312</v>
      </c>
      <c r="I139" s="213" t="s">
        <v>5228</v>
      </c>
      <c r="J139" s="1">
        <v>19795000</v>
      </c>
      <c r="K139" t="s">
        <v>25</v>
      </c>
      <c r="M139">
        <v>126</v>
      </c>
      <c r="N139">
        <v>1</v>
      </c>
      <c r="O139">
        <f>M139*N139</f>
        <v>126</v>
      </c>
      <c r="Q139" s="35">
        <v>2624850</v>
      </c>
      <c r="R139" s="5" t="s">
        <v>4677</v>
      </c>
      <c r="S139" s="5">
        <f>S138-1</f>
        <v>253</v>
      </c>
      <c r="T139" s="5" t="s">
        <v>5249</v>
      </c>
      <c r="U139" s="168">
        <v>481.7</v>
      </c>
      <c r="V139" s="99">
        <f t="shared" si="30"/>
        <v>582.51123178082196</v>
      </c>
      <c r="W139" s="32">
        <f t="shared" si="39"/>
        <v>594.16145641643845</v>
      </c>
      <c r="X139" s="32">
        <f t="shared" si="40"/>
        <v>605.81168105205484</v>
      </c>
      <c r="AH139" s="121">
        <v>119</v>
      </c>
      <c r="AI139" s="79" t="s">
        <v>4689</v>
      </c>
      <c r="AJ139" s="79">
        <v>17595278</v>
      </c>
      <c r="AK139" s="121">
        <v>1</v>
      </c>
      <c r="AL139" s="121">
        <f t="shared" si="37"/>
        <v>243</v>
      </c>
      <c r="AM139" s="79">
        <f t="shared" si="35"/>
        <v>4275652554</v>
      </c>
      <c r="AN139" s="121" t="s">
        <v>4691</v>
      </c>
      <c r="AQ139" t="s">
        <v>25</v>
      </c>
    </row>
    <row r="140" spans="7:43">
      <c r="G140" s="1">
        <f>P52</f>
        <v>305.39999999999998</v>
      </c>
      <c r="H140" s="213" t="s">
        <v>4235</v>
      </c>
      <c r="I140" s="213">
        <v>46582</v>
      </c>
      <c r="J140" s="1">
        <f>G140*I140</f>
        <v>14226142.799999999</v>
      </c>
      <c r="L140">
        <v>821</v>
      </c>
      <c r="M140">
        <v>590</v>
      </c>
      <c r="N140">
        <v>0</v>
      </c>
      <c r="O140" s="96">
        <f>M140*N140</f>
        <v>0</v>
      </c>
      <c r="Q140" s="169">
        <v>6150141</v>
      </c>
      <c r="R140" s="213" t="s">
        <v>4863</v>
      </c>
      <c r="S140" s="213">
        <f>S139-64</f>
        <v>189</v>
      </c>
      <c r="T140" s="213" t="s">
        <v>4869</v>
      </c>
      <c r="U140" s="213">
        <v>180.6</v>
      </c>
      <c r="V140" s="99">
        <f t="shared" si="30"/>
        <v>209.52964602739729</v>
      </c>
      <c r="W140" s="32">
        <f t="shared" si="39"/>
        <v>213.72023894794523</v>
      </c>
      <c r="X140" s="32">
        <f t="shared" si="40"/>
        <v>217.9108318684932</v>
      </c>
      <c r="Z140" t="s">
        <v>25</v>
      </c>
      <c r="AH140" s="121">
        <v>120</v>
      </c>
      <c r="AI140" s="79" t="s">
        <v>4690</v>
      </c>
      <c r="AJ140" s="79">
        <v>13335309</v>
      </c>
      <c r="AK140" s="121">
        <v>13</v>
      </c>
      <c r="AL140" s="121">
        <f t="shared" si="37"/>
        <v>242</v>
      </c>
      <c r="AM140" s="79">
        <f t="shared" si="35"/>
        <v>3227144778</v>
      </c>
      <c r="AN140" s="121" t="s">
        <v>4655</v>
      </c>
    </row>
    <row r="141" spans="7:43">
      <c r="G141" s="213"/>
      <c r="H141" s="213" t="s">
        <v>338</v>
      </c>
      <c r="I141" s="213"/>
      <c r="J141" s="1">
        <v>10000000</v>
      </c>
      <c r="K141" t="s">
        <v>25</v>
      </c>
      <c r="Q141" s="169">
        <v>1399908</v>
      </c>
      <c r="R141" s="213" t="s">
        <v>4932</v>
      </c>
      <c r="S141" s="213">
        <f>S140-20</f>
        <v>169</v>
      </c>
      <c r="T141" s="213" t="s">
        <v>4933</v>
      </c>
      <c r="U141" s="213">
        <v>194</v>
      </c>
      <c r="V141" s="99">
        <f t="shared" si="30"/>
        <v>222.09970410958908</v>
      </c>
      <c r="W141" s="32">
        <f t="shared" si="39"/>
        <v>226.54169819178088</v>
      </c>
      <c r="X141" s="32">
        <f t="shared" si="40"/>
        <v>230.98369227397265</v>
      </c>
      <c r="Y141" t="s">
        <v>25</v>
      </c>
      <c r="AA141" t="s">
        <v>25</v>
      </c>
      <c r="AH141" s="161">
        <v>121</v>
      </c>
      <c r="AI141" s="228" t="s">
        <v>4745</v>
      </c>
      <c r="AJ141" s="228">
        <v>50000000</v>
      </c>
      <c r="AK141" s="161">
        <v>11</v>
      </c>
      <c r="AL141" s="161">
        <f t="shared" si="37"/>
        <v>229</v>
      </c>
      <c r="AM141" s="228">
        <f t="shared" si="35"/>
        <v>11450000000</v>
      </c>
      <c r="AN141" s="161" t="s">
        <v>4747</v>
      </c>
      <c r="AP141" t="s">
        <v>25</v>
      </c>
    </row>
    <row r="142" spans="7:43">
      <c r="G142" s="213"/>
      <c r="H142" s="213"/>
      <c r="I142" s="1">
        <f>J142-J139</f>
        <v>4431142.799999997</v>
      </c>
      <c r="J142" s="1">
        <f>SUM(J140:J141)</f>
        <v>24226142.799999997</v>
      </c>
      <c r="O142">
        <f>O138+O139+O140</f>
        <v>834</v>
      </c>
      <c r="Q142" s="169">
        <v>1204033</v>
      </c>
      <c r="R142" s="213" t="s">
        <v>4942</v>
      </c>
      <c r="S142" s="213">
        <f>S141-7</f>
        <v>162</v>
      </c>
      <c r="T142" s="213" t="s">
        <v>4945</v>
      </c>
      <c r="U142" s="213">
        <v>218.5</v>
      </c>
      <c r="V142" s="99">
        <f t="shared" si="30"/>
        <v>248.97506301369867</v>
      </c>
      <c r="W142" s="32">
        <f t="shared" si="39"/>
        <v>253.95456427397266</v>
      </c>
      <c r="X142" s="32">
        <f t="shared" si="40"/>
        <v>258.93406553424666</v>
      </c>
      <c r="Y142" t="s">
        <v>25</v>
      </c>
      <c r="AH142" s="20">
        <v>122</v>
      </c>
      <c r="AI142" s="117" t="s">
        <v>973</v>
      </c>
      <c r="AJ142" s="117">
        <v>30000</v>
      </c>
      <c r="AK142" s="20">
        <v>3</v>
      </c>
      <c r="AL142" s="20">
        <f t="shared" si="37"/>
        <v>218</v>
      </c>
      <c r="AM142" s="117">
        <f t="shared" si="35"/>
        <v>6540000</v>
      </c>
      <c r="AN142" s="20"/>
    </row>
    <row r="143" spans="7:43">
      <c r="G143" s="213"/>
      <c r="H143" s="213"/>
      <c r="I143" s="213" t="s">
        <v>916</v>
      </c>
      <c r="J143" s="213" t="s">
        <v>6</v>
      </c>
      <c r="Q143" s="169">
        <v>8382674</v>
      </c>
      <c r="R143" s="213" t="s">
        <v>4952</v>
      </c>
      <c r="S143" s="213">
        <f>S142-7</f>
        <v>155</v>
      </c>
      <c r="T143" s="213" t="s">
        <v>4958</v>
      </c>
      <c r="U143" s="213">
        <v>192</v>
      </c>
      <c r="V143" s="99">
        <f t="shared" si="30"/>
        <v>217.74798904109591</v>
      </c>
      <c r="W143" s="32">
        <f t="shared" si="39"/>
        <v>222.10294882191783</v>
      </c>
      <c r="X143" s="32">
        <f t="shared" si="40"/>
        <v>226.45790860273976</v>
      </c>
      <c r="Y143" t="s">
        <v>25</v>
      </c>
      <c r="AH143" s="20">
        <v>123</v>
      </c>
      <c r="AI143" s="117" t="s">
        <v>4808</v>
      </c>
      <c r="AJ143" s="117">
        <v>600000</v>
      </c>
      <c r="AK143" s="20">
        <v>1</v>
      </c>
      <c r="AL143" s="20">
        <f t="shared" si="37"/>
        <v>215</v>
      </c>
      <c r="AM143" s="117">
        <f t="shared" si="35"/>
        <v>129000000</v>
      </c>
      <c r="AN143" s="20"/>
    </row>
    <row r="144" spans="7:43">
      <c r="Q144" s="169">
        <v>190884649</v>
      </c>
      <c r="R144" s="213" t="s">
        <v>4971</v>
      </c>
      <c r="S144" s="213">
        <f>S143-9</f>
        <v>146</v>
      </c>
      <c r="T144" s="213" t="s">
        <v>4974</v>
      </c>
      <c r="U144" s="213">
        <v>193.6</v>
      </c>
      <c r="V144" s="99">
        <f t="shared" si="30"/>
        <v>218.22592000000003</v>
      </c>
      <c r="W144" s="32">
        <f t="shared" si="39"/>
        <v>222.59043840000004</v>
      </c>
      <c r="X144" s="32">
        <f t="shared" si="40"/>
        <v>226.95495680000005</v>
      </c>
      <c r="Y144" t="s">
        <v>25</v>
      </c>
      <c r="AH144" s="20">
        <v>124</v>
      </c>
      <c r="AI144" s="117" t="s">
        <v>4815</v>
      </c>
      <c r="AJ144" s="117">
        <v>30000</v>
      </c>
      <c r="AK144" s="20">
        <v>3</v>
      </c>
      <c r="AL144" s="20">
        <f t="shared" si="37"/>
        <v>214</v>
      </c>
      <c r="AM144" s="117">
        <f t="shared" si="35"/>
        <v>6420000</v>
      </c>
      <c r="AN144" s="20"/>
    </row>
    <row r="145" spans="6:44">
      <c r="G145" s="99"/>
      <c r="H145" s="99"/>
      <c r="I145" s="99" t="s">
        <v>5336</v>
      </c>
      <c r="J145" s="1">
        <v>20000000</v>
      </c>
      <c r="Q145" s="169">
        <v>2099962</v>
      </c>
      <c r="R145" s="213" t="s">
        <v>4973</v>
      </c>
      <c r="S145" s="213">
        <f>S144-1</f>
        <v>145</v>
      </c>
      <c r="T145" s="213" t="s">
        <v>4977</v>
      </c>
      <c r="U145" s="213">
        <v>196.5</v>
      </c>
      <c r="V145" s="99">
        <f t="shared" si="30"/>
        <v>221.34406027397262</v>
      </c>
      <c r="W145" s="32">
        <f t="shared" si="39"/>
        <v>225.77094147945206</v>
      </c>
      <c r="X145" s="32">
        <f t="shared" si="40"/>
        <v>230.19782268493154</v>
      </c>
      <c r="Y145" s="122" t="s">
        <v>25</v>
      </c>
      <c r="AH145" s="20">
        <v>125</v>
      </c>
      <c r="AI145" s="117" t="s">
        <v>4821</v>
      </c>
      <c r="AJ145" s="117">
        <v>2250000</v>
      </c>
      <c r="AK145" s="20">
        <v>1</v>
      </c>
      <c r="AL145" s="20">
        <f t="shared" si="37"/>
        <v>211</v>
      </c>
      <c r="AM145" s="117">
        <f t="shared" ref="AM145:AM147" si="41">AJ145*AL145</f>
        <v>474750000</v>
      </c>
      <c r="AN145" s="20"/>
      <c r="AR145" t="s">
        <v>25</v>
      </c>
    </row>
    <row r="146" spans="6:44">
      <c r="G146" s="99">
        <f>P52</f>
        <v>305.39999999999998</v>
      </c>
      <c r="H146" s="99" t="s">
        <v>4235</v>
      </c>
      <c r="I146" s="99">
        <v>39042</v>
      </c>
      <c r="J146" s="1">
        <f>G146*I146</f>
        <v>11923426.799999999</v>
      </c>
      <c r="Q146" s="169">
        <v>130756</v>
      </c>
      <c r="R146" s="213" t="s">
        <v>4978</v>
      </c>
      <c r="S146" s="213">
        <f>S145-1</f>
        <v>144</v>
      </c>
      <c r="T146" s="213" t="s">
        <v>4979</v>
      </c>
      <c r="U146" s="213">
        <v>197.8</v>
      </c>
      <c r="V146" s="99">
        <f t="shared" si="30"/>
        <v>222.65668602739731</v>
      </c>
      <c r="W146" s="32">
        <f t="shared" si="39"/>
        <v>227.10981974794527</v>
      </c>
      <c r="X146" s="32">
        <f t="shared" si="40"/>
        <v>231.56295346849322</v>
      </c>
      <c r="AH146" s="23">
        <v>126</v>
      </c>
      <c r="AI146" s="35" t="s">
        <v>4826</v>
      </c>
      <c r="AJ146" s="35">
        <v>-31412200</v>
      </c>
      <c r="AK146" s="23">
        <v>1</v>
      </c>
      <c r="AL146" s="20">
        <f t="shared" si="37"/>
        <v>210</v>
      </c>
      <c r="AM146" s="35">
        <f t="shared" si="41"/>
        <v>-6596562000</v>
      </c>
      <c r="AN146" s="23" t="s">
        <v>4810</v>
      </c>
    </row>
    <row r="147" spans="6:44">
      <c r="G147" s="99">
        <f>P49</f>
        <v>6699.7</v>
      </c>
      <c r="H147" s="99" t="s">
        <v>4385</v>
      </c>
      <c r="I147" s="99">
        <v>1150</v>
      </c>
      <c r="J147" s="1">
        <f>G147*I147</f>
        <v>7704655</v>
      </c>
      <c r="P147" s="114" t="s">
        <v>25</v>
      </c>
      <c r="Q147" s="169">
        <v>795874</v>
      </c>
      <c r="R147" s="213" t="s">
        <v>4990</v>
      </c>
      <c r="S147" s="213">
        <f>S146-6</f>
        <v>138</v>
      </c>
      <c r="T147" s="213" t="s">
        <v>4991</v>
      </c>
      <c r="U147" s="213">
        <v>198.1</v>
      </c>
      <c r="V147" s="99">
        <f t="shared" si="30"/>
        <v>222.08258301369864</v>
      </c>
      <c r="W147" s="32">
        <f t="shared" si="39"/>
        <v>226.52423467397261</v>
      </c>
      <c r="X147" s="32">
        <f t="shared" si="40"/>
        <v>230.96588633424659</v>
      </c>
      <c r="Z147" s="96"/>
      <c r="AH147" s="20">
        <v>127</v>
      </c>
      <c r="AI147" s="117" t="s">
        <v>4835</v>
      </c>
      <c r="AJ147" s="117">
        <v>70000</v>
      </c>
      <c r="AK147" s="20">
        <v>9</v>
      </c>
      <c r="AL147" s="20">
        <f t="shared" si="37"/>
        <v>209</v>
      </c>
      <c r="AM147" s="117">
        <f t="shared" si="41"/>
        <v>14630000</v>
      </c>
      <c r="AN147" s="20"/>
    </row>
    <row r="148" spans="6:44">
      <c r="G148" s="99"/>
      <c r="H148" s="99"/>
      <c r="I148" s="278">
        <f>J146+J147-J145</f>
        <v>-371918.20000000298</v>
      </c>
      <c r="J148" s="1"/>
      <c r="Q148" s="169">
        <v>400348</v>
      </c>
      <c r="R148" s="213" t="s">
        <v>4993</v>
      </c>
      <c r="S148" s="213">
        <f>S147-1</f>
        <v>137</v>
      </c>
      <c r="T148" s="213" t="s">
        <v>4995</v>
      </c>
      <c r="U148" s="213">
        <v>199.3</v>
      </c>
      <c r="V148" s="99">
        <f t="shared" si="30"/>
        <v>223.27497095890413</v>
      </c>
      <c r="W148" s="32">
        <f t="shared" si="39"/>
        <v>227.74047037808222</v>
      </c>
      <c r="X148" s="32">
        <f t="shared" si="40"/>
        <v>232.20596979726031</v>
      </c>
      <c r="Z148" s="96"/>
      <c r="AH148" s="99">
        <v>128</v>
      </c>
      <c r="AI148" s="113" t="s">
        <v>4842</v>
      </c>
      <c r="AJ148" s="113">
        <v>20000</v>
      </c>
      <c r="AK148" s="99">
        <v>10</v>
      </c>
      <c r="AL148" s="20">
        <f t="shared" si="37"/>
        <v>200</v>
      </c>
      <c r="AM148" s="117">
        <f t="shared" ref="AM148:AM149" si="42">AJ148*AL148</f>
        <v>4000000</v>
      </c>
      <c r="AN148" s="20"/>
      <c r="AP148" t="s">
        <v>25</v>
      </c>
    </row>
    <row r="149" spans="6:44">
      <c r="F149" t="s">
        <v>4811</v>
      </c>
      <c r="Q149" s="169">
        <v>5896463</v>
      </c>
      <c r="R149" s="213" t="s">
        <v>5004</v>
      </c>
      <c r="S149" s="213">
        <f>S148-4</f>
        <v>133</v>
      </c>
      <c r="T149" s="213" t="s">
        <v>5005</v>
      </c>
      <c r="U149" s="213">
        <v>197.4</v>
      </c>
      <c r="V149" s="99">
        <f t="shared" si="30"/>
        <v>220.54068821917809</v>
      </c>
      <c r="W149" s="32">
        <f t="shared" si="39"/>
        <v>224.95150198356166</v>
      </c>
      <c r="X149" s="32">
        <f t="shared" si="40"/>
        <v>229.36231574794522</v>
      </c>
      <c r="Z149" s="96"/>
      <c r="AH149" s="99">
        <v>129</v>
      </c>
      <c r="AI149" s="113" t="s">
        <v>4862</v>
      </c>
      <c r="AJ149" s="113">
        <v>1000000</v>
      </c>
      <c r="AK149" s="99">
        <v>1</v>
      </c>
      <c r="AL149" s="20">
        <f t="shared" si="37"/>
        <v>190</v>
      </c>
      <c r="AM149" s="117">
        <f t="shared" si="42"/>
        <v>190000000</v>
      </c>
      <c r="AN149" s="20"/>
    </row>
    <row r="150" spans="6:44">
      <c r="Q150" s="169">
        <v>1499873</v>
      </c>
      <c r="R150" s="213" t="s">
        <v>5017</v>
      </c>
      <c r="S150" s="213">
        <f>S149-8</f>
        <v>125</v>
      </c>
      <c r="T150" s="213" t="s">
        <v>5019</v>
      </c>
      <c r="U150" s="213">
        <v>200.1</v>
      </c>
      <c r="V150" s="99">
        <f t="shared" ref="V150:V177" si="43">U150*(1+$R$114+$Q$15*S150/36500)</f>
        <v>222.32919123287672</v>
      </c>
      <c r="W150" s="32">
        <f t="shared" si="39"/>
        <v>226.77577505753428</v>
      </c>
      <c r="X150" s="32">
        <f t="shared" si="40"/>
        <v>231.2223588821918</v>
      </c>
      <c r="Y150" t="s">
        <v>25</v>
      </c>
      <c r="Z150" s="96"/>
      <c r="AA150" s="114"/>
      <c r="AC150" s="114"/>
      <c r="AD150" s="114"/>
      <c r="AH150" s="99">
        <v>130</v>
      </c>
      <c r="AI150" s="113" t="s">
        <v>4863</v>
      </c>
      <c r="AJ150" s="113">
        <v>65630227</v>
      </c>
      <c r="AK150" s="99">
        <v>0</v>
      </c>
      <c r="AL150" s="20">
        <f t="shared" si="37"/>
        <v>189</v>
      </c>
      <c r="AM150" s="117">
        <f t="shared" ref="AM150:AM177" si="44">AJ150*AL150</f>
        <v>12404112903</v>
      </c>
      <c r="AN150" s="20" t="s">
        <v>4866</v>
      </c>
      <c r="AP150" t="s">
        <v>25</v>
      </c>
      <c r="AR150" t="s">
        <v>25</v>
      </c>
    </row>
    <row r="151" spans="6:44">
      <c r="Q151" s="169">
        <v>25141103</v>
      </c>
      <c r="R151" s="213" t="s">
        <v>5041</v>
      </c>
      <c r="S151" s="213">
        <f>S150-7</f>
        <v>118</v>
      </c>
      <c r="T151" s="213" t="s">
        <v>5044</v>
      </c>
      <c r="U151" s="213">
        <v>211.3</v>
      </c>
      <c r="V151" s="99">
        <f t="shared" si="43"/>
        <v>233.63875178082193</v>
      </c>
      <c r="W151" s="32">
        <f t="shared" si="39"/>
        <v>238.31152681643837</v>
      </c>
      <c r="X151" s="32">
        <f t="shared" si="40"/>
        <v>242.98430185205481</v>
      </c>
      <c r="Z151" s="96"/>
      <c r="AA151" s="114"/>
      <c r="AC151" s="114"/>
      <c r="AH151" s="99">
        <v>131</v>
      </c>
      <c r="AI151" s="113" t="s">
        <v>4863</v>
      </c>
      <c r="AJ151" s="113">
        <v>-3500000</v>
      </c>
      <c r="AK151" s="99">
        <v>6</v>
      </c>
      <c r="AL151" s="20">
        <f t="shared" si="37"/>
        <v>189</v>
      </c>
      <c r="AM151" s="117">
        <f t="shared" si="44"/>
        <v>-661500000</v>
      </c>
      <c r="AN151" s="20" t="s">
        <v>4865</v>
      </c>
    </row>
    <row r="152" spans="6:44">
      <c r="G152">
        <v>1200</v>
      </c>
      <c r="H152" t="s">
        <v>4812</v>
      </c>
      <c r="Q152" s="169">
        <v>120581</v>
      </c>
      <c r="R152" s="213" t="s">
        <v>5045</v>
      </c>
      <c r="S152" s="213">
        <f>S151-1</f>
        <v>117</v>
      </c>
      <c r="T152" s="213" t="s">
        <v>5046</v>
      </c>
      <c r="U152" s="213">
        <v>210.2</v>
      </c>
      <c r="V152" s="99">
        <f t="shared" si="43"/>
        <v>232.2612098630137</v>
      </c>
      <c r="W152" s="32">
        <f t="shared" si="39"/>
        <v>236.90643406027399</v>
      </c>
      <c r="X152" s="32">
        <f t="shared" si="40"/>
        <v>241.55165825753426</v>
      </c>
      <c r="Y152" t="s">
        <v>25</v>
      </c>
      <c r="Z152" s="96"/>
      <c r="AA152" s="114"/>
      <c r="AC152" s="114"/>
      <c r="AD152" s="114"/>
      <c r="AH152" s="99">
        <v>132</v>
      </c>
      <c r="AI152" s="113" t="s">
        <v>4876</v>
      </c>
      <c r="AJ152" s="113">
        <v>2520000</v>
      </c>
      <c r="AK152" s="99">
        <v>12</v>
      </c>
      <c r="AL152" s="20">
        <f t="shared" si="37"/>
        <v>183</v>
      </c>
      <c r="AM152" s="117">
        <f t="shared" si="44"/>
        <v>461160000</v>
      </c>
      <c r="AN152" s="20"/>
    </row>
    <row r="153" spans="6:44">
      <c r="G153">
        <v>1350</v>
      </c>
      <c r="H153" t="s">
        <v>4813</v>
      </c>
      <c r="J153" t="s">
        <v>25</v>
      </c>
      <c r="Q153" s="169">
        <v>500951</v>
      </c>
      <c r="R153" s="213" t="s">
        <v>5045</v>
      </c>
      <c r="S153" s="213">
        <f>S152</f>
        <v>117</v>
      </c>
      <c r="T153" s="213" t="s">
        <v>5050</v>
      </c>
      <c r="U153" s="213">
        <v>209.6</v>
      </c>
      <c r="V153" s="99">
        <f t="shared" si="43"/>
        <v>231.59823780821918</v>
      </c>
      <c r="W153" s="32">
        <f t="shared" si="39"/>
        <v>236.23020256438357</v>
      </c>
      <c r="X153" s="32">
        <f t="shared" si="40"/>
        <v>240.86216732054797</v>
      </c>
      <c r="Y153" s="96" t="s">
        <v>25</v>
      </c>
      <c r="Z153" s="96"/>
      <c r="AH153" s="99">
        <v>133</v>
      </c>
      <c r="AI153" s="113" t="s">
        <v>4911</v>
      </c>
      <c r="AJ153" s="113">
        <v>1400000</v>
      </c>
      <c r="AK153" s="99">
        <v>4</v>
      </c>
      <c r="AL153" s="20">
        <f t="shared" si="37"/>
        <v>171</v>
      </c>
      <c r="AM153" s="117">
        <f t="shared" si="44"/>
        <v>239400000</v>
      </c>
      <c r="AN153" s="20"/>
    </row>
    <row r="154" spans="6:44">
      <c r="G154">
        <v>1050</v>
      </c>
      <c r="H154" t="s">
        <v>4814</v>
      </c>
      <c r="Q154" s="169">
        <v>493081</v>
      </c>
      <c r="R154" s="213" t="s">
        <v>5053</v>
      </c>
      <c r="S154" s="213">
        <f>S153-1</f>
        <v>116</v>
      </c>
      <c r="T154" s="213" t="s">
        <v>5055</v>
      </c>
      <c r="U154" s="213">
        <v>205.1</v>
      </c>
      <c r="V154" s="99">
        <f t="shared" si="43"/>
        <v>226.46861041095895</v>
      </c>
      <c r="W154" s="32">
        <f t="shared" si="39"/>
        <v>230.99798261917812</v>
      </c>
      <c r="X154" s="32">
        <f t="shared" si="40"/>
        <v>235.52735482739732</v>
      </c>
      <c r="Y154" s="122" t="s">
        <v>25</v>
      </c>
      <c r="Z154" s="96"/>
      <c r="AH154" s="99">
        <v>134</v>
      </c>
      <c r="AI154" s="113" t="s">
        <v>4936</v>
      </c>
      <c r="AJ154" s="113">
        <v>1550000</v>
      </c>
      <c r="AK154" s="99">
        <v>2</v>
      </c>
      <c r="AL154" s="20">
        <f t="shared" si="37"/>
        <v>167</v>
      </c>
      <c r="AM154" s="117">
        <f t="shared" si="44"/>
        <v>258850000</v>
      </c>
      <c r="AN154" s="20"/>
    </row>
    <row r="155" spans="6:44">
      <c r="Q155" s="169">
        <v>43287917</v>
      </c>
      <c r="R155" s="213" t="s">
        <v>5057</v>
      </c>
      <c r="S155" s="213">
        <f>S154-3</f>
        <v>113</v>
      </c>
      <c r="T155" s="213" t="s">
        <v>5080</v>
      </c>
      <c r="U155" s="213">
        <v>203.6</v>
      </c>
      <c r="V155" s="99">
        <f t="shared" si="43"/>
        <v>224.34377205479456</v>
      </c>
      <c r="W155" s="32">
        <f t="shared" si="39"/>
        <v>228.83064749589045</v>
      </c>
      <c r="X155" s="32">
        <f t="shared" si="40"/>
        <v>233.31752293698634</v>
      </c>
      <c r="Y155" s="96"/>
      <c r="Z155" s="96"/>
      <c r="AH155" s="99">
        <v>135</v>
      </c>
      <c r="AI155" s="113" t="s">
        <v>4883</v>
      </c>
      <c r="AJ155" s="113">
        <v>250000</v>
      </c>
      <c r="AK155" s="99">
        <v>6</v>
      </c>
      <c r="AL155" s="20">
        <f t="shared" si="37"/>
        <v>165</v>
      </c>
      <c r="AM155" s="117">
        <f t="shared" si="44"/>
        <v>41250000</v>
      </c>
      <c r="AN155" s="20"/>
    </row>
    <row r="156" spans="6:44">
      <c r="Q156" s="169">
        <v>3195995</v>
      </c>
      <c r="R156" s="213" t="s">
        <v>5084</v>
      </c>
      <c r="S156" s="213">
        <f>S155-11</f>
        <v>102</v>
      </c>
      <c r="T156" s="213" t="s">
        <v>5085</v>
      </c>
      <c r="U156" s="213">
        <v>228</v>
      </c>
      <c r="V156" s="99">
        <f t="shared" si="43"/>
        <v>249.3058191780822</v>
      </c>
      <c r="W156" s="32">
        <f t="shared" si="39"/>
        <v>254.29193556164384</v>
      </c>
      <c r="X156" s="32">
        <f t="shared" si="40"/>
        <v>259.2780519452055</v>
      </c>
      <c r="Y156" s="122" t="s">
        <v>25</v>
      </c>
      <c r="Z156" s="96"/>
      <c r="AH156" s="99">
        <v>136</v>
      </c>
      <c r="AI156" s="113" t="s">
        <v>4946</v>
      </c>
      <c r="AJ156" s="113">
        <v>-48527480</v>
      </c>
      <c r="AK156" s="99">
        <v>14</v>
      </c>
      <c r="AL156" s="20">
        <f t="shared" si="37"/>
        <v>159</v>
      </c>
      <c r="AM156" s="117">
        <f t="shared" si="44"/>
        <v>-7715869320</v>
      </c>
      <c r="AN156" s="20" t="s">
        <v>4948</v>
      </c>
    </row>
    <row r="157" spans="6:44">
      <c r="Q157" s="169">
        <v>5897690</v>
      </c>
      <c r="R157" s="213" t="s">
        <v>5094</v>
      </c>
      <c r="S157" s="213">
        <f>S156-10</f>
        <v>92</v>
      </c>
      <c r="T157" s="213" t="s">
        <v>5097</v>
      </c>
      <c r="U157" s="213">
        <v>236</v>
      </c>
      <c r="V157" s="99">
        <f t="shared" si="43"/>
        <v>256.2429808219178</v>
      </c>
      <c r="W157" s="32">
        <f t="shared" si="39"/>
        <v>261.36784043835615</v>
      </c>
      <c r="X157" s="32">
        <f t="shared" si="40"/>
        <v>266.49270005479451</v>
      </c>
      <c r="Y157" s="96"/>
      <c r="Z157" s="96"/>
      <c r="AH157" s="99">
        <v>137</v>
      </c>
      <c r="AI157" s="113" t="s">
        <v>4973</v>
      </c>
      <c r="AJ157" s="113">
        <v>2100000</v>
      </c>
      <c r="AK157" s="99">
        <v>1</v>
      </c>
      <c r="AL157" s="20">
        <f t="shared" si="37"/>
        <v>145</v>
      </c>
      <c r="AM157" s="117">
        <f t="shared" si="44"/>
        <v>304500000</v>
      </c>
      <c r="AN157" s="20"/>
    </row>
    <row r="158" spans="6:44">
      <c r="Q158" s="169">
        <v>1203628</v>
      </c>
      <c r="R158" s="213" t="s">
        <v>5101</v>
      </c>
      <c r="S158" s="213">
        <f>S157-2</f>
        <v>90</v>
      </c>
      <c r="T158" s="213" t="s">
        <v>5102</v>
      </c>
      <c r="U158" s="213">
        <v>235.1</v>
      </c>
      <c r="V158" s="99">
        <f t="shared" si="43"/>
        <v>254.90508164383567</v>
      </c>
      <c r="W158" s="32">
        <f t="shared" ref="W158:W177" si="45">V158*(1+$W$19/100)</f>
        <v>260.00318327671238</v>
      </c>
      <c r="X158" s="32">
        <f t="shared" ref="X158:X177" si="46">V158*(1+$X$19/100)</f>
        <v>265.10128490958908</v>
      </c>
      <c r="Y158" s="96"/>
      <c r="Z158" s="96"/>
      <c r="AH158" s="99">
        <v>138</v>
      </c>
      <c r="AI158" s="113" t="s">
        <v>4978</v>
      </c>
      <c r="AJ158" s="113">
        <v>100000</v>
      </c>
      <c r="AK158" s="99">
        <v>4</v>
      </c>
      <c r="AL158" s="20">
        <f>AL159+AK158</f>
        <v>144</v>
      </c>
      <c r="AM158" s="117">
        <f t="shared" si="44"/>
        <v>14400000</v>
      </c>
      <c r="AN158" s="20"/>
      <c r="AQ158" t="s">
        <v>25</v>
      </c>
    </row>
    <row r="159" spans="6:44">
      <c r="Q159" s="169">
        <v>2598983</v>
      </c>
      <c r="R159" s="213" t="s">
        <v>5099</v>
      </c>
      <c r="S159" s="213">
        <f>S158-2</f>
        <v>88</v>
      </c>
      <c r="T159" s="213" t="s">
        <v>5108</v>
      </c>
      <c r="U159" s="213">
        <v>233.2</v>
      </c>
      <c r="V159" s="99">
        <f t="shared" si="43"/>
        <v>252.48723726027401</v>
      </c>
      <c r="W159" s="32">
        <f t="shared" si="45"/>
        <v>257.5369820054795</v>
      </c>
      <c r="X159" s="32">
        <f t="shared" si="46"/>
        <v>262.58672675068499</v>
      </c>
      <c r="Y159" s="96" t="s">
        <v>25</v>
      </c>
      <c r="Z159" s="96"/>
      <c r="AH159" s="99">
        <v>139</v>
      </c>
      <c r="AI159" s="113" t="s">
        <v>4984</v>
      </c>
      <c r="AJ159" s="113">
        <v>900000</v>
      </c>
      <c r="AK159" s="99">
        <v>0</v>
      </c>
      <c r="AL159" s="20">
        <f t="shared" ref="AL159:AL168" si="47">AL160+AK159</f>
        <v>140</v>
      </c>
      <c r="AM159" s="117">
        <f t="shared" ref="AM159:AM168" si="48">AJ159*AL159</f>
        <v>126000000</v>
      </c>
      <c r="AN159" s="20"/>
      <c r="AP159" t="s">
        <v>25</v>
      </c>
    </row>
    <row r="160" spans="6:44">
      <c r="P160" s="114"/>
      <c r="Q160" s="169">
        <v>8061801</v>
      </c>
      <c r="R160" s="213" t="s">
        <v>5100</v>
      </c>
      <c r="S160" s="213">
        <f>S159-6</f>
        <v>82</v>
      </c>
      <c r="T160" s="213" t="s">
        <v>5111</v>
      </c>
      <c r="U160" s="213">
        <v>240.4</v>
      </c>
      <c r="V160" s="99">
        <f t="shared" si="43"/>
        <v>259.17622794520548</v>
      </c>
      <c r="W160" s="32">
        <f t="shared" si="45"/>
        <v>264.35975250410962</v>
      </c>
      <c r="X160" s="32">
        <f t="shared" si="46"/>
        <v>269.5432770630137</v>
      </c>
      <c r="Y160" s="96"/>
      <c r="AH160" s="99">
        <v>140</v>
      </c>
      <c r="AI160" s="113" t="s">
        <v>4984</v>
      </c>
      <c r="AJ160" s="113">
        <v>1100000</v>
      </c>
      <c r="AK160" s="99">
        <v>0</v>
      </c>
      <c r="AL160" s="20">
        <f t="shared" si="47"/>
        <v>140</v>
      </c>
      <c r="AM160" s="117">
        <f t="shared" si="48"/>
        <v>154000000</v>
      </c>
      <c r="AN160" s="20" t="s">
        <v>5002</v>
      </c>
      <c r="AQ160" t="s">
        <v>25</v>
      </c>
    </row>
    <row r="161" spans="15:43">
      <c r="P161" s="114"/>
      <c r="Q161" s="169">
        <v>47597272</v>
      </c>
      <c r="R161" s="213" t="s">
        <v>5116</v>
      </c>
      <c r="S161" s="213">
        <f>S160-1</f>
        <v>81</v>
      </c>
      <c r="T161" s="213" t="s">
        <v>5360</v>
      </c>
      <c r="U161" s="213">
        <v>241.4</v>
      </c>
      <c r="V161" s="99">
        <f t="shared" si="43"/>
        <v>260.06914849315069</v>
      </c>
      <c r="W161" s="32">
        <f t="shared" si="45"/>
        <v>265.2705314630137</v>
      </c>
      <c r="X161" s="32">
        <f t="shared" si="46"/>
        <v>270.4719144328767</v>
      </c>
      <c r="Y161" s="96"/>
      <c r="AH161" s="99">
        <v>141</v>
      </c>
      <c r="AI161" s="113" t="s">
        <v>4984</v>
      </c>
      <c r="AJ161" s="113">
        <v>115000</v>
      </c>
      <c r="AK161" s="99"/>
      <c r="AL161" s="20">
        <f t="shared" si="47"/>
        <v>140</v>
      </c>
      <c r="AM161" s="117">
        <f t="shared" si="48"/>
        <v>16100000</v>
      </c>
      <c r="AN161" s="20"/>
      <c r="AQ161" t="s">
        <v>25</v>
      </c>
    </row>
    <row r="162" spans="15:43">
      <c r="P162" s="114"/>
      <c r="Q162" s="169">
        <v>6188</v>
      </c>
      <c r="R162" s="213" t="s">
        <v>5173</v>
      </c>
      <c r="S162" s="213">
        <f>S161-33</f>
        <v>48</v>
      </c>
      <c r="T162" s="213" t="s">
        <v>5233</v>
      </c>
      <c r="U162" s="213">
        <v>6160</v>
      </c>
      <c r="V162" s="99">
        <f t="shared" si="43"/>
        <v>6480.4550136986309</v>
      </c>
      <c r="W162" s="32">
        <f t="shared" si="45"/>
        <v>6610.064113972604</v>
      </c>
      <c r="X162" s="32">
        <f t="shared" si="46"/>
        <v>6739.6732142465762</v>
      </c>
      <c r="Y162" s="96"/>
      <c r="AH162" s="99">
        <v>142</v>
      </c>
      <c r="AI162" s="113" t="s">
        <v>4993</v>
      </c>
      <c r="AJ162" s="113">
        <v>-1100000</v>
      </c>
      <c r="AK162" s="99"/>
      <c r="AL162" s="20">
        <f t="shared" si="47"/>
        <v>140</v>
      </c>
      <c r="AM162" s="117">
        <f t="shared" si="48"/>
        <v>-154000000</v>
      </c>
      <c r="AN162" s="20" t="s">
        <v>5003</v>
      </c>
      <c r="AQ162" t="s">
        <v>25</v>
      </c>
    </row>
    <row r="163" spans="15:43">
      <c r="Q163" s="169">
        <v>9373</v>
      </c>
      <c r="R163" s="213" t="s">
        <v>5229</v>
      </c>
      <c r="S163" s="213">
        <f>S162-21</f>
        <v>27</v>
      </c>
      <c r="T163" s="213" t="s">
        <v>5307</v>
      </c>
      <c r="U163" s="213">
        <v>4665</v>
      </c>
      <c r="V163" s="99">
        <f t="shared" si="43"/>
        <v>4832.5310136986309</v>
      </c>
      <c r="W163" s="32">
        <f t="shared" si="45"/>
        <v>4929.1816339726038</v>
      </c>
      <c r="X163" s="32">
        <f t="shared" si="46"/>
        <v>5025.8322542465767</v>
      </c>
      <c r="Y163" s="122" t="s">
        <v>25</v>
      </c>
      <c r="AH163" s="99">
        <v>143</v>
      </c>
      <c r="AI163" s="113" t="s">
        <v>4993</v>
      </c>
      <c r="AJ163" s="113">
        <v>900000</v>
      </c>
      <c r="AK163" s="99">
        <v>1</v>
      </c>
      <c r="AL163" s="20">
        <f t="shared" si="47"/>
        <v>140</v>
      </c>
      <c r="AM163" s="117">
        <f t="shared" si="48"/>
        <v>126000000</v>
      </c>
      <c r="AN163" s="20" t="s">
        <v>5002</v>
      </c>
    </row>
    <row r="164" spans="15:43">
      <c r="Q164" s="169">
        <v>298455</v>
      </c>
      <c r="R164" s="213" t="s">
        <v>5248</v>
      </c>
      <c r="S164" s="213">
        <f>S163-9</f>
        <v>18</v>
      </c>
      <c r="T164" s="213" t="s">
        <v>5250</v>
      </c>
      <c r="U164" s="213">
        <v>199</v>
      </c>
      <c r="V164" s="99">
        <f t="shared" si="43"/>
        <v>204.77263561643838</v>
      </c>
      <c r="W164" s="32">
        <f t="shared" si="45"/>
        <v>208.86808832876716</v>
      </c>
      <c r="X164" s="32">
        <f t="shared" si="46"/>
        <v>212.96354104109591</v>
      </c>
      <c r="Y164" s="96"/>
      <c r="AH164" s="99">
        <v>144</v>
      </c>
      <c r="AI164" s="113" t="s">
        <v>5000</v>
      </c>
      <c r="AJ164" s="113">
        <v>2000000</v>
      </c>
      <c r="AK164" s="99">
        <v>0</v>
      </c>
      <c r="AL164" s="20">
        <f t="shared" si="47"/>
        <v>139</v>
      </c>
      <c r="AM164" s="117">
        <f t="shared" si="48"/>
        <v>278000000</v>
      </c>
      <c r="AN164" s="20"/>
    </row>
    <row r="165" spans="15:43">
      <c r="Q165" s="169">
        <v>6702018</v>
      </c>
      <c r="R165" s="213" t="s">
        <v>5276</v>
      </c>
      <c r="S165" s="213">
        <f>S164-3</f>
        <v>15</v>
      </c>
      <c r="T165" s="213" t="s">
        <v>5280</v>
      </c>
      <c r="U165" s="213">
        <v>7413</v>
      </c>
      <c r="V165" s="99">
        <f t="shared" si="43"/>
        <v>7610.9778739726034</v>
      </c>
      <c r="W165" s="32">
        <f t="shared" si="45"/>
        <v>7763.1974314520558</v>
      </c>
      <c r="X165" s="32">
        <f t="shared" si="46"/>
        <v>7915.4169889315081</v>
      </c>
      <c r="Y165" s="96"/>
      <c r="AH165" s="99">
        <v>145</v>
      </c>
      <c r="AI165" s="113" t="s">
        <v>5000</v>
      </c>
      <c r="AJ165" s="113">
        <v>360000</v>
      </c>
      <c r="AK165" s="99">
        <v>1</v>
      </c>
      <c r="AL165" s="20">
        <f t="shared" si="47"/>
        <v>139</v>
      </c>
      <c r="AM165" s="117">
        <f t="shared" si="48"/>
        <v>50040000</v>
      </c>
      <c r="AN165" s="20"/>
    </row>
    <row r="166" spans="15:43">
      <c r="P166" s="114"/>
      <c r="Q166" s="169">
        <v>1068775</v>
      </c>
      <c r="R166" s="213" t="s">
        <v>5281</v>
      </c>
      <c r="S166" s="213">
        <f>S165-1</f>
        <v>14</v>
      </c>
      <c r="T166" s="213" t="s">
        <v>5284</v>
      </c>
      <c r="U166" s="213">
        <v>7046</v>
      </c>
      <c r="V166" s="99">
        <f t="shared" si="43"/>
        <v>7228.7713095890422</v>
      </c>
      <c r="W166" s="32">
        <f t="shared" si="45"/>
        <v>7373.3467357808231</v>
      </c>
      <c r="X166" s="32">
        <f t="shared" si="46"/>
        <v>7517.922161972604</v>
      </c>
      <c r="Y166" t="s">
        <v>25</v>
      </c>
      <c r="AH166" s="99">
        <v>146</v>
      </c>
      <c r="AI166" s="113" t="s">
        <v>5001</v>
      </c>
      <c r="AJ166" s="113">
        <v>3000000</v>
      </c>
      <c r="AK166" s="99">
        <v>1</v>
      </c>
      <c r="AL166" s="20">
        <f t="shared" si="47"/>
        <v>138</v>
      </c>
      <c r="AM166" s="117">
        <f t="shared" si="48"/>
        <v>414000000</v>
      </c>
      <c r="AN166" s="20"/>
    </row>
    <row r="167" spans="15:43">
      <c r="Q167" s="169">
        <v>1633018</v>
      </c>
      <c r="R167" s="213" t="s">
        <v>5287</v>
      </c>
      <c r="S167" s="213">
        <f>S166-1</f>
        <v>13</v>
      </c>
      <c r="T167" s="213" t="s">
        <v>5291</v>
      </c>
      <c r="U167" s="213">
        <v>812.7</v>
      </c>
      <c r="V167" s="99">
        <f t="shared" si="43"/>
        <v>833.1577742465754</v>
      </c>
      <c r="W167" s="32">
        <f t="shared" si="45"/>
        <v>849.82092973150691</v>
      </c>
      <c r="X167" s="32">
        <f t="shared" si="46"/>
        <v>866.48408521643842</v>
      </c>
      <c r="AH167" s="99">
        <v>147</v>
      </c>
      <c r="AI167" s="113" t="s">
        <v>4998</v>
      </c>
      <c r="AJ167" s="113">
        <v>-658226</v>
      </c>
      <c r="AK167" s="99">
        <v>1</v>
      </c>
      <c r="AL167" s="20">
        <f t="shared" si="47"/>
        <v>137</v>
      </c>
      <c r="AM167" s="117">
        <f t="shared" si="48"/>
        <v>-90176962</v>
      </c>
      <c r="AN167" s="20"/>
    </row>
    <row r="168" spans="15:43">
      <c r="P168" s="114"/>
      <c r="Q168" s="169">
        <v>12307678</v>
      </c>
      <c r="R168" s="213" t="s">
        <v>5292</v>
      </c>
      <c r="S168" s="213">
        <f>S167-1</f>
        <v>12</v>
      </c>
      <c r="T168" s="213" t="s">
        <v>5296</v>
      </c>
      <c r="U168" s="213">
        <v>7115</v>
      </c>
      <c r="V168" s="99">
        <f t="shared" si="43"/>
        <v>7288.6449863013713</v>
      </c>
      <c r="W168" s="32">
        <f t="shared" si="45"/>
        <v>7434.4178860273987</v>
      </c>
      <c r="X168" s="32">
        <f t="shared" si="46"/>
        <v>7580.1907857534261</v>
      </c>
      <c r="Y168" t="s">
        <v>25</v>
      </c>
      <c r="AH168" s="99">
        <v>148</v>
      </c>
      <c r="AI168" s="113" t="s">
        <v>5004</v>
      </c>
      <c r="AJ168" s="113">
        <v>1000000</v>
      </c>
      <c r="AK168" s="99">
        <v>15</v>
      </c>
      <c r="AL168" s="20">
        <f t="shared" si="47"/>
        <v>136</v>
      </c>
      <c r="AM168" s="117">
        <f t="shared" si="48"/>
        <v>136000000</v>
      </c>
      <c r="AN168" s="20"/>
      <c r="AP168" t="s">
        <v>25</v>
      </c>
    </row>
    <row r="169" spans="15:43">
      <c r="O169" s="96"/>
      <c r="Q169" s="169">
        <v>453499</v>
      </c>
      <c r="R169" s="213" t="s">
        <v>5301</v>
      </c>
      <c r="S169" s="213">
        <f>S168-1</f>
        <v>11</v>
      </c>
      <c r="T169" s="213" t="s">
        <v>5302</v>
      </c>
      <c r="U169" s="213">
        <v>6945.4</v>
      </c>
      <c r="V169" s="99">
        <f t="shared" si="43"/>
        <v>7109.5778389041097</v>
      </c>
      <c r="W169" s="32">
        <f t="shared" si="45"/>
        <v>7251.7693956821922</v>
      </c>
      <c r="X169" s="32">
        <f t="shared" si="46"/>
        <v>7393.9609524602747</v>
      </c>
      <c r="AH169" s="99">
        <v>149</v>
      </c>
      <c r="AI169" s="113" t="s">
        <v>5041</v>
      </c>
      <c r="AJ169" s="113">
        <v>1130250</v>
      </c>
      <c r="AK169" s="99">
        <v>5</v>
      </c>
      <c r="AL169" s="20">
        <f t="shared" si="37"/>
        <v>121</v>
      </c>
      <c r="AM169" s="117">
        <f t="shared" si="44"/>
        <v>136760250</v>
      </c>
      <c r="AN169" s="20"/>
    </row>
    <row r="170" spans="15:43">
      <c r="O170" s="96"/>
      <c r="Q170" s="169">
        <v>121792</v>
      </c>
      <c r="R170" s="213" t="s">
        <v>5301</v>
      </c>
      <c r="S170" s="213">
        <f>S169</f>
        <v>11</v>
      </c>
      <c r="T170" s="213" t="s">
        <v>5303</v>
      </c>
      <c r="U170" s="213">
        <v>808.2</v>
      </c>
      <c r="V170" s="99">
        <f t="shared" si="43"/>
        <v>827.30451945205482</v>
      </c>
      <c r="W170" s="32">
        <f t="shared" si="45"/>
        <v>843.85060984109589</v>
      </c>
      <c r="X170" s="32">
        <f t="shared" si="46"/>
        <v>860.39670023013707</v>
      </c>
      <c r="Y170" t="s">
        <v>25</v>
      </c>
      <c r="AE170" s="96" t="s">
        <v>25</v>
      </c>
      <c r="AH170" s="99">
        <v>150</v>
      </c>
      <c r="AI170" s="113" t="s">
        <v>5057</v>
      </c>
      <c r="AJ170" s="113">
        <v>206000</v>
      </c>
      <c r="AK170" s="99">
        <v>2</v>
      </c>
      <c r="AL170" s="20">
        <f t="shared" si="37"/>
        <v>116</v>
      </c>
      <c r="AM170" s="117">
        <f t="shared" si="44"/>
        <v>23896000</v>
      </c>
      <c r="AN170" s="20"/>
    </row>
    <row r="171" spans="15:43">
      <c r="Q171" s="169">
        <v>5649</v>
      </c>
      <c r="R171" s="213" t="s">
        <v>5308</v>
      </c>
      <c r="S171" s="213">
        <f>S170-4</f>
        <v>7</v>
      </c>
      <c r="T171" s="213" t="s">
        <v>5309</v>
      </c>
      <c r="U171" s="213">
        <v>803</v>
      </c>
      <c r="V171" s="99">
        <f t="shared" si="43"/>
        <v>819.51760000000013</v>
      </c>
      <c r="W171" s="32">
        <f t="shared" si="45"/>
        <v>835.90795200000014</v>
      </c>
      <c r="X171" s="32">
        <f t="shared" si="46"/>
        <v>852.29830400000014</v>
      </c>
      <c r="AH171" s="99">
        <v>151</v>
      </c>
      <c r="AI171" s="113" t="s">
        <v>5064</v>
      </c>
      <c r="AJ171" s="113">
        <v>50000</v>
      </c>
      <c r="AK171" s="99">
        <v>2</v>
      </c>
      <c r="AL171" s="20">
        <f t="shared" si="37"/>
        <v>114</v>
      </c>
      <c r="AM171" s="117">
        <f t="shared" si="44"/>
        <v>5700000</v>
      </c>
      <c r="AN171" s="20"/>
    </row>
    <row r="172" spans="15:43">
      <c r="Q172" s="169">
        <v>172672</v>
      </c>
      <c r="R172" s="213" t="s">
        <v>5321</v>
      </c>
      <c r="S172" s="213">
        <f>S171-3</f>
        <v>4</v>
      </c>
      <c r="T172" s="213" t="s">
        <v>5325</v>
      </c>
      <c r="U172" s="213">
        <v>625</v>
      </c>
      <c r="V172" s="99">
        <f t="shared" si="43"/>
        <v>636.41780821917826</v>
      </c>
      <c r="W172" s="32">
        <f t="shared" si="45"/>
        <v>649.14616438356188</v>
      </c>
      <c r="X172" s="32">
        <f t="shared" si="46"/>
        <v>661.87452054794539</v>
      </c>
      <c r="Y172" t="s">
        <v>25</v>
      </c>
      <c r="AH172" s="99">
        <v>152</v>
      </c>
      <c r="AI172" s="113" t="s">
        <v>5071</v>
      </c>
      <c r="AJ172" s="113">
        <v>105000</v>
      </c>
      <c r="AK172" s="99">
        <v>4</v>
      </c>
      <c r="AL172" s="20">
        <f t="shared" si="37"/>
        <v>112</v>
      </c>
      <c r="AM172" s="117">
        <f t="shared" si="44"/>
        <v>11760000</v>
      </c>
      <c r="AN172" s="20"/>
    </row>
    <row r="173" spans="15:43">
      <c r="Q173" s="169">
        <v>150178</v>
      </c>
      <c r="R173" s="213" t="s">
        <v>5328</v>
      </c>
      <c r="S173" s="213">
        <f>S172-4</f>
        <v>0</v>
      </c>
      <c r="T173" s="213" t="s">
        <v>5333</v>
      </c>
      <c r="U173" s="213">
        <v>2300</v>
      </c>
      <c r="V173" s="99">
        <f t="shared" si="43"/>
        <v>2334.96</v>
      </c>
      <c r="W173" s="32">
        <f t="shared" si="45"/>
        <v>2381.6592000000001</v>
      </c>
      <c r="X173" s="32">
        <f t="shared" si="46"/>
        <v>2428.3584000000001</v>
      </c>
      <c r="Y173" t="s">
        <v>25</v>
      </c>
      <c r="AH173" s="99">
        <v>153</v>
      </c>
      <c r="AI173" s="113" t="s">
        <v>5076</v>
      </c>
      <c r="AJ173" s="113">
        <v>5000000</v>
      </c>
      <c r="AK173" s="99">
        <v>1</v>
      </c>
      <c r="AL173" s="20">
        <f t="shared" si="37"/>
        <v>108</v>
      </c>
      <c r="AM173" s="117">
        <f t="shared" si="44"/>
        <v>540000000</v>
      </c>
      <c r="AN173" s="20"/>
    </row>
    <row r="174" spans="15:43">
      <c r="Q174" s="169">
        <v>1361093</v>
      </c>
      <c r="R174" s="213" t="s">
        <v>991</v>
      </c>
      <c r="S174" s="213">
        <f>S173-1</f>
        <v>-1</v>
      </c>
      <c r="T174" s="213" t="s">
        <v>5338</v>
      </c>
      <c r="U174" s="213">
        <v>6948.4</v>
      </c>
      <c r="V174" s="99">
        <f t="shared" si="43"/>
        <v>7048.6854005479463</v>
      </c>
      <c r="W174" s="32">
        <f t="shared" si="45"/>
        <v>7189.6591085589052</v>
      </c>
      <c r="X174" s="32">
        <f t="shared" si="46"/>
        <v>7330.6328165698642</v>
      </c>
      <c r="Y174" t="s">
        <v>25</v>
      </c>
      <c r="Z174" t="s">
        <v>25</v>
      </c>
      <c r="AH174" s="99">
        <v>154</v>
      </c>
      <c r="AI174" s="113" t="s">
        <v>5077</v>
      </c>
      <c r="AJ174" s="113">
        <v>2500000</v>
      </c>
      <c r="AK174" s="99">
        <v>2</v>
      </c>
      <c r="AL174" s="20">
        <f t="shared" si="37"/>
        <v>107</v>
      </c>
      <c r="AM174" s="117">
        <f t="shared" si="44"/>
        <v>267500000</v>
      </c>
      <c r="AN174" s="20"/>
    </row>
    <row r="175" spans="15:43">
      <c r="Q175" s="169">
        <v>172529</v>
      </c>
      <c r="R175" s="213" t="s">
        <v>5344</v>
      </c>
      <c r="S175" s="213">
        <f>S174-2</f>
        <v>-3</v>
      </c>
      <c r="T175" s="213" t="s">
        <v>5347</v>
      </c>
      <c r="U175" s="213">
        <v>6870</v>
      </c>
      <c r="V175" s="99">
        <f t="shared" si="43"/>
        <v>6958.6135890410969</v>
      </c>
      <c r="W175" s="32">
        <f t="shared" si="45"/>
        <v>7097.7858608219194</v>
      </c>
      <c r="X175" s="32">
        <f t="shared" si="46"/>
        <v>7236.958132602741</v>
      </c>
      <c r="AH175" s="269">
        <v>155</v>
      </c>
      <c r="AI175" s="265" t="s">
        <v>5084</v>
      </c>
      <c r="AJ175" s="265">
        <v>-50000000</v>
      </c>
      <c r="AK175" s="269">
        <v>7</v>
      </c>
      <c r="AL175" s="269">
        <f t="shared" si="37"/>
        <v>105</v>
      </c>
      <c r="AM175" s="265">
        <f t="shared" si="44"/>
        <v>-5250000000</v>
      </c>
      <c r="AN175" s="269" t="s">
        <v>5093</v>
      </c>
    </row>
    <row r="176" spans="15:43">
      <c r="Q176" s="169">
        <v>296336</v>
      </c>
      <c r="R176" s="213" t="s">
        <v>5344</v>
      </c>
      <c r="S176" s="213">
        <f>S175</f>
        <v>-3</v>
      </c>
      <c r="T176" s="213" t="s">
        <v>5348</v>
      </c>
      <c r="U176" s="213">
        <v>6860.4</v>
      </c>
      <c r="V176" s="99">
        <f t="shared" si="43"/>
        <v>6948.8897621917813</v>
      </c>
      <c r="W176" s="32">
        <f t="shared" si="45"/>
        <v>7087.8675574356166</v>
      </c>
      <c r="X176" s="32">
        <f t="shared" si="46"/>
        <v>7226.8453526794528</v>
      </c>
      <c r="AH176" s="99">
        <v>156</v>
      </c>
      <c r="AI176" s="113" t="s">
        <v>5091</v>
      </c>
      <c r="AJ176" s="113">
        <v>10000000</v>
      </c>
      <c r="AK176" s="99">
        <v>12</v>
      </c>
      <c r="AL176" s="20">
        <f t="shared" si="37"/>
        <v>98</v>
      </c>
      <c r="AM176" s="117">
        <f t="shared" si="44"/>
        <v>980000000</v>
      </c>
      <c r="AN176" s="20" t="s">
        <v>4747</v>
      </c>
    </row>
    <row r="177" spans="16:44">
      <c r="Q177" s="169">
        <v>302781</v>
      </c>
      <c r="R177" s="213" t="s">
        <v>5344</v>
      </c>
      <c r="S177" s="213">
        <f>S176</f>
        <v>-3</v>
      </c>
      <c r="T177" s="213" t="s">
        <v>5349</v>
      </c>
      <c r="U177" s="213">
        <v>6850.3</v>
      </c>
      <c r="V177" s="99">
        <f t="shared" si="43"/>
        <v>6938.6594860273981</v>
      </c>
      <c r="W177" s="32">
        <f t="shared" si="45"/>
        <v>7077.4326757479457</v>
      </c>
      <c r="X177" s="32">
        <f t="shared" si="46"/>
        <v>7216.2058654684943</v>
      </c>
      <c r="AH177" s="99">
        <v>157</v>
      </c>
      <c r="AI177" s="113" t="s">
        <v>5100</v>
      </c>
      <c r="AJ177" s="113">
        <v>-16266000</v>
      </c>
      <c r="AK177" s="99">
        <v>1</v>
      </c>
      <c r="AL177" s="20">
        <f t="shared" si="37"/>
        <v>86</v>
      </c>
      <c r="AM177" s="117">
        <f t="shared" si="44"/>
        <v>-1398876000</v>
      </c>
      <c r="AN177" s="20" t="s">
        <v>5115</v>
      </c>
      <c r="AQ177" t="s">
        <v>25</v>
      </c>
    </row>
    <row r="178" spans="16:44">
      <c r="Q178" s="169">
        <v>683097</v>
      </c>
      <c r="R178" s="213" t="s">
        <v>5350</v>
      </c>
      <c r="S178" s="213">
        <f>S177-4</f>
        <v>-7</v>
      </c>
      <c r="T178" s="213" t="s">
        <v>5358</v>
      </c>
      <c r="U178" s="213">
        <v>6800.1</v>
      </c>
      <c r="V178" s="99">
        <f t="shared" ref="V178:V181" si="49">U178*(1+$R$114+$Q$15*S178/36500)</f>
        <v>6866.9459145205483</v>
      </c>
      <c r="W178" s="32">
        <f t="shared" ref="W178:W181" si="50">V178*(1+$W$19/100)</f>
        <v>7004.2848328109594</v>
      </c>
      <c r="X178" s="32">
        <f t="shared" ref="X178:X181" si="51">V178*(1+$X$19/100)</f>
        <v>7141.6237511013705</v>
      </c>
      <c r="AH178" s="99">
        <v>158</v>
      </c>
      <c r="AI178" s="113" t="s">
        <v>5116</v>
      </c>
      <c r="AJ178" s="113">
        <v>1000000</v>
      </c>
      <c r="AK178" s="99">
        <v>6</v>
      </c>
      <c r="AL178" s="20">
        <f t="shared" ref="AL178:AL181" si="52">AL179+AK178</f>
        <v>85</v>
      </c>
      <c r="AM178" s="117">
        <f t="shared" ref="AM178:AM181" si="53">AJ178*AL178</f>
        <v>85000000</v>
      </c>
      <c r="AN178" s="20"/>
    </row>
    <row r="179" spans="16:44">
      <c r="Q179" s="169">
        <v>678687</v>
      </c>
      <c r="R179" s="213" t="s">
        <v>5350</v>
      </c>
      <c r="S179" s="213">
        <f>S178</f>
        <v>-7</v>
      </c>
      <c r="T179" s="213" t="s">
        <v>5359</v>
      </c>
      <c r="U179" s="213">
        <v>6756.2</v>
      </c>
      <c r="V179" s="99">
        <f t="shared" si="49"/>
        <v>6822.6143715068492</v>
      </c>
      <c r="W179" s="32">
        <f t="shared" si="50"/>
        <v>6959.0666589369866</v>
      </c>
      <c r="X179" s="32">
        <f t="shared" si="51"/>
        <v>7095.5189463671231</v>
      </c>
      <c r="Y179" t="s">
        <v>25</v>
      </c>
      <c r="AH179" s="99">
        <v>159</v>
      </c>
      <c r="AI179" s="113" t="s">
        <v>5124</v>
      </c>
      <c r="AJ179" s="113">
        <v>40000</v>
      </c>
      <c r="AK179" s="99">
        <v>5</v>
      </c>
      <c r="AL179" s="20">
        <f t="shared" si="52"/>
        <v>79</v>
      </c>
      <c r="AM179" s="117">
        <f t="shared" si="53"/>
        <v>3160000</v>
      </c>
      <c r="AN179" s="20"/>
    </row>
    <row r="180" spans="16:44">
      <c r="Q180" s="169"/>
      <c r="R180" s="213"/>
      <c r="S180" s="213"/>
      <c r="T180" s="213"/>
      <c r="U180" s="213"/>
      <c r="V180" s="99">
        <f t="shared" si="49"/>
        <v>0</v>
      </c>
      <c r="W180" s="32">
        <f t="shared" si="50"/>
        <v>0</v>
      </c>
      <c r="X180" s="32">
        <f t="shared" si="51"/>
        <v>0</v>
      </c>
      <c r="AH180" s="99">
        <v>160</v>
      </c>
      <c r="AI180" s="113" t="s">
        <v>5136</v>
      </c>
      <c r="AJ180" s="113">
        <v>120000</v>
      </c>
      <c r="AK180" s="99">
        <v>6</v>
      </c>
      <c r="AL180" s="20">
        <f t="shared" si="52"/>
        <v>74</v>
      </c>
      <c r="AM180" s="117">
        <f t="shared" si="53"/>
        <v>8880000</v>
      </c>
      <c r="AN180" s="20"/>
    </row>
    <row r="181" spans="16:44">
      <c r="Q181" s="169"/>
      <c r="R181" s="168"/>
      <c r="S181" s="168"/>
      <c r="T181" s="168"/>
      <c r="U181" s="168"/>
      <c r="V181" s="99">
        <f t="shared" si="49"/>
        <v>0</v>
      </c>
      <c r="W181" s="32">
        <f t="shared" si="50"/>
        <v>0</v>
      </c>
      <c r="X181" s="32">
        <f t="shared" si="51"/>
        <v>0</v>
      </c>
      <c r="Y181" t="s">
        <v>25</v>
      </c>
      <c r="AH181" s="99">
        <v>161</v>
      </c>
      <c r="AI181" s="113" t="s">
        <v>5129</v>
      </c>
      <c r="AJ181" s="113">
        <v>249000</v>
      </c>
      <c r="AK181" s="99">
        <v>9</v>
      </c>
      <c r="AL181" s="20">
        <f t="shared" si="52"/>
        <v>68</v>
      </c>
      <c r="AM181" s="117">
        <f t="shared" si="53"/>
        <v>16932000</v>
      </c>
      <c r="AN181" s="20"/>
    </row>
    <row r="182" spans="16:44">
      <c r="Q182" s="113">
        <f>SUM(N47:N54)-SUM(Q118:Q181)</f>
        <v>341523414.5</v>
      </c>
      <c r="R182" s="112"/>
      <c r="S182" s="112"/>
      <c r="T182" s="112"/>
      <c r="U182" s="168"/>
      <c r="V182" s="99" t="s">
        <v>25</v>
      </c>
      <c r="W182" s="32"/>
      <c r="X182" s="32"/>
      <c r="Y182" t="s">
        <v>25</v>
      </c>
      <c r="AH182" s="99">
        <v>162</v>
      </c>
      <c r="AI182" s="113" t="s">
        <v>5160</v>
      </c>
      <c r="AJ182" s="113">
        <v>65000</v>
      </c>
      <c r="AK182" s="99">
        <v>7</v>
      </c>
      <c r="AL182" s="20">
        <f t="shared" ref="AL182" si="54">AL183+AK182</f>
        <v>59</v>
      </c>
      <c r="AM182" s="117">
        <f t="shared" ref="AM182" si="55">AJ182*AL182</f>
        <v>3835000</v>
      </c>
      <c r="AN182" s="20"/>
    </row>
    <row r="183" spans="16:44">
      <c r="Q183" s="26"/>
      <c r="R183" s="181"/>
      <c r="S183" s="181"/>
      <c r="T183" t="s">
        <v>25</v>
      </c>
      <c r="U183" s="96" t="s">
        <v>25</v>
      </c>
      <c r="V183" s="96" t="s">
        <v>25</v>
      </c>
      <c r="W183" s="96" t="s">
        <v>25</v>
      </c>
      <c r="AH183" s="99">
        <v>163</v>
      </c>
      <c r="AI183" s="113" t="s">
        <v>5173</v>
      </c>
      <c r="AJ183" s="113">
        <v>-312598</v>
      </c>
      <c r="AK183" s="99">
        <v>0</v>
      </c>
      <c r="AL183" s="20">
        <f t="shared" ref="AL183:AL190" si="56">AL184+AK183</f>
        <v>52</v>
      </c>
      <c r="AM183" s="117">
        <f t="shared" ref="AM183:AM190" si="57">AJ183*AL183</f>
        <v>-16255096</v>
      </c>
      <c r="AN183" s="20"/>
      <c r="AO183" t="s">
        <v>25</v>
      </c>
      <c r="AQ183" t="s">
        <v>25</v>
      </c>
    </row>
    <row r="184" spans="16:44">
      <c r="R184" s="32" t="s">
        <v>4558</v>
      </c>
      <c r="S184" s="32" t="s">
        <v>949</v>
      </c>
      <c r="T184" t="s">
        <v>25</v>
      </c>
      <c r="U184" s="96" t="s">
        <v>25</v>
      </c>
      <c r="V184" s="96" t="s">
        <v>25</v>
      </c>
      <c r="W184" s="96" t="s">
        <v>25</v>
      </c>
      <c r="X184" s="122" t="s">
        <v>25</v>
      </c>
      <c r="AH184" s="99">
        <v>164</v>
      </c>
      <c r="AI184" s="113" t="s">
        <v>5173</v>
      </c>
      <c r="AJ184" s="113">
        <v>50000</v>
      </c>
      <c r="AK184" s="99">
        <v>6</v>
      </c>
      <c r="AL184" s="20">
        <f t="shared" si="56"/>
        <v>52</v>
      </c>
      <c r="AM184" s="117">
        <f t="shared" si="57"/>
        <v>2600000</v>
      </c>
      <c r="AN184" s="20"/>
      <c r="AR184" t="s">
        <v>25</v>
      </c>
    </row>
    <row r="185" spans="16:44">
      <c r="P185">
        <f>R193+71</f>
        <v>1617270</v>
      </c>
      <c r="R185" s="32">
        <v>196635</v>
      </c>
      <c r="S185" s="234">
        <v>47682872</v>
      </c>
      <c r="U185" s="96" t="s">
        <v>25</v>
      </c>
      <c r="V185" s="122" t="s">
        <v>25</v>
      </c>
      <c r="W185" s="96" t="s">
        <v>25</v>
      </c>
      <c r="X185" t="s">
        <v>25</v>
      </c>
      <c r="AH185" s="99">
        <v>165</v>
      </c>
      <c r="AI185" s="113" t="s">
        <v>5187</v>
      </c>
      <c r="AJ185" s="113">
        <v>-200000</v>
      </c>
      <c r="AK185" s="99">
        <v>0</v>
      </c>
      <c r="AL185" s="20">
        <f t="shared" si="56"/>
        <v>46</v>
      </c>
      <c r="AM185" s="117">
        <f t="shared" si="57"/>
        <v>-9200000</v>
      </c>
      <c r="AN185" s="20" t="s">
        <v>5188</v>
      </c>
    </row>
    <row r="186" spans="16:44">
      <c r="Q186" t="s">
        <v>25</v>
      </c>
      <c r="R186" s="32">
        <v>353</v>
      </c>
      <c r="S186" s="1">
        <f>S185*R186/R185</f>
        <v>85600.49744958934</v>
      </c>
      <c r="U186" s="96" t="s">
        <v>25</v>
      </c>
      <c r="V186" s="122" t="s">
        <v>25</v>
      </c>
      <c r="W186" s="96" t="s">
        <v>25</v>
      </c>
      <c r="X186" t="s">
        <v>25</v>
      </c>
      <c r="AH186" s="99">
        <v>166</v>
      </c>
      <c r="AI186" s="113" t="s">
        <v>5187</v>
      </c>
      <c r="AJ186" s="113">
        <v>200000</v>
      </c>
      <c r="AK186" s="99">
        <v>3</v>
      </c>
      <c r="AL186" s="20">
        <f t="shared" si="56"/>
        <v>46</v>
      </c>
      <c r="AM186" s="117">
        <f t="shared" si="57"/>
        <v>9200000</v>
      </c>
      <c r="AN186" s="20"/>
      <c r="AQ186" t="s">
        <v>25</v>
      </c>
      <c r="AR186" t="s">
        <v>25</v>
      </c>
    </row>
    <row r="187" spans="16:44">
      <c r="R187" s="32">
        <f>R185-R186</f>
        <v>196282</v>
      </c>
      <c r="S187" s="1">
        <f>R187*S185/R185</f>
        <v>47597271.502550408</v>
      </c>
      <c r="T187" t="s">
        <v>25</v>
      </c>
      <c r="U187" s="122" t="s">
        <v>25</v>
      </c>
      <c r="V187" s="96"/>
      <c r="W187" s="122" t="s">
        <v>25</v>
      </c>
      <c r="X187" t="s">
        <v>25</v>
      </c>
      <c r="Z187" t="s">
        <v>25</v>
      </c>
      <c r="AH187" s="99">
        <v>167</v>
      </c>
      <c r="AI187" s="113" t="s">
        <v>5196</v>
      </c>
      <c r="AJ187" s="113">
        <v>200000</v>
      </c>
      <c r="AK187" s="99">
        <v>3</v>
      </c>
      <c r="AL187" s="20">
        <f t="shared" si="56"/>
        <v>43</v>
      </c>
      <c r="AM187" s="117">
        <f t="shared" si="57"/>
        <v>8600000</v>
      </c>
      <c r="AN187" s="20"/>
    </row>
    <row r="188" spans="16:44">
      <c r="V188" s="96"/>
      <c r="W188"/>
      <c r="X188" t="s">
        <v>25</v>
      </c>
      <c r="AH188" s="99">
        <v>168</v>
      </c>
      <c r="AI188" s="113" t="s">
        <v>5201</v>
      </c>
      <c r="AJ188" s="113">
        <v>30000</v>
      </c>
      <c r="AK188" s="99">
        <v>7</v>
      </c>
      <c r="AL188" s="20">
        <f t="shared" si="56"/>
        <v>40</v>
      </c>
      <c r="AM188" s="117">
        <f t="shared" si="57"/>
        <v>1200000</v>
      </c>
      <c r="AN188" s="20"/>
    </row>
    <row r="189" spans="16:44">
      <c r="Q189" s="99" t="s">
        <v>4449</v>
      </c>
      <c r="R189" s="99" t="s">
        <v>4451</v>
      </c>
      <c r="S189" s="99"/>
      <c r="T189" s="99" t="s">
        <v>4452</v>
      </c>
      <c r="U189" s="99"/>
      <c r="V189" s="99"/>
      <c r="W189" s="99" t="s">
        <v>4561</v>
      </c>
      <c r="AH189" s="99">
        <v>169</v>
      </c>
      <c r="AI189" s="113" t="s">
        <v>5148</v>
      </c>
      <c r="AJ189" s="113">
        <v>-10000000</v>
      </c>
      <c r="AK189" s="99">
        <v>0</v>
      </c>
      <c r="AL189" s="20">
        <f t="shared" si="56"/>
        <v>33</v>
      </c>
      <c r="AM189" s="117">
        <f t="shared" si="57"/>
        <v>-330000000</v>
      </c>
      <c r="AN189" s="20" t="s">
        <v>5093</v>
      </c>
    </row>
    <row r="190" spans="16:44">
      <c r="Q190" s="113">
        <v>1000</v>
      </c>
      <c r="R190" s="99">
        <v>0.25</v>
      </c>
      <c r="S190" s="99"/>
      <c r="T190" s="99">
        <f>1-R190</f>
        <v>0.75</v>
      </c>
      <c r="U190" s="99"/>
      <c r="V190" s="99"/>
      <c r="W190" s="99"/>
      <c r="AH190" s="99">
        <v>170</v>
      </c>
      <c r="AI190" s="113" t="s">
        <v>5148</v>
      </c>
      <c r="AJ190" s="113">
        <v>6000000</v>
      </c>
      <c r="AK190" s="99">
        <v>8</v>
      </c>
      <c r="AL190" s="20">
        <f t="shared" si="56"/>
        <v>33</v>
      </c>
      <c r="AM190" s="117">
        <f t="shared" si="57"/>
        <v>198000000</v>
      </c>
      <c r="AN190" s="20"/>
      <c r="AP190" t="s">
        <v>25</v>
      </c>
    </row>
    <row r="191" spans="16:44">
      <c r="Q191" s="168" t="s">
        <v>4436</v>
      </c>
      <c r="R191" s="168" t="s">
        <v>4454</v>
      </c>
      <c r="S191" s="168" t="s">
        <v>4455</v>
      </c>
      <c r="T191" s="168"/>
      <c r="U191" s="168" t="s">
        <v>4450</v>
      </c>
      <c r="V191" s="56" t="s">
        <v>4453</v>
      </c>
      <c r="W191" s="99"/>
      <c r="X191" s="8" t="s">
        <v>25</v>
      </c>
      <c r="Y191" t="s">
        <v>25</v>
      </c>
      <c r="AH191" s="99">
        <v>171</v>
      </c>
      <c r="AI191" s="113" t="s">
        <v>5237</v>
      </c>
      <c r="AJ191" s="113">
        <v>150000</v>
      </c>
      <c r="AK191" s="99">
        <v>7</v>
      </c>
      <c r="AL191" s="20">
        <f t="shared" ref="AL191:AL207" si="58">AL192+AK191</f>
        <v>25</v>
      </c>
      <c r="AM191" s="117">
        <f t="shared" ref="AM191:AM207" si="59">AJ191*AL191</f>
        <v>3750000</v>
      </c>
      <c r="AN191" s="20"/>
    </row>
    <row r="192" spans="16:44">
      <c r="Q192" s="168" t="s">
        <v>751</v>
      </c>
      <c r="R192" s="56">
        <v>1752307</v>
      </c>
      <c r="S192" s="113">
        <f>R192*$T$341</f>
        <v>847074614.03444147</v>
      </c>
      <c r="T192" s="168"/>
      <c r="U192" s="168">
        <f>$Q$190*$T$190*S192/$R$219</f>
        <v>359.09980925140258</v>
      </c>
      <c r="V192" s="95">
        <f>S192+U192</f>
        <v>847074973.13425076</v>
      </c>
      <c r="W192" s="99">
        <f>R192*100/U338</f>
        <v>47.879974566853683</v>
      </c>
      <c r="X192" s="217"/>
      <c r="AH192" s="99">
        <v>172</v>
      </c>
      <c r="AI192" s="113" t="s">
        <v>5281</v>
      </c>
      <c r="AJ192" s="113">
        <v>400000</v>
      </c>
      <c r="AK192" s="99">
        <v>1</v>
      </c>
      <c r="AL192" s="20">
        <f t="shared" si="58"/>
        <v>18</v>
      </c>
      <c r="AM192" s="117">
        <f t="shared" si="59"/>
        <v>7200000</v>
      </c>
      <c r="AN192" s="20"/>
    </row>
    <row r="193" spans="15:45">
      <c r="Q193" s="168" t="s">
        <v>4438</v>
      </c>
      <c r="R193" s="56">
        <v>1617199</v>
      </c>
      <c r="S193" s="113">
        <f>R193*$T$341</f>
        <v>781762681.27781534</v>
      </c>
      <c r="T193" s="168"/>
      <c r="U193" s="213">
        <f>$Q$190*$T$190*S193/$R$219</f>
        <v>331.41216260709967</v>
      </c>
      <c r="V193" s="95">
        <f t="shared" ref="V193:V194" si="60">S193+U193</f>
        <v>781763012.689978</v>
      </c>
      <c r="W193" s="99">
        <f>R193*100/U338</f>
        <v>44.188288347613295</v>
      </c>
      <c r="X193" s="115"/>
      <c r="AH193" s="99">
        <v>173</v>
      </c>
      <c r="AI193" s="113" t="s">
        <v>5287</v>
      </c>
      <c r="AJ193" s="113">
        <v>-100000</v>
      </c>
      <c r="AK193" s="99">
        <v>1</v>
      </c>
      <c r="AL193" s="20">
        <f t="shared" si="58"/>
        <v>17</v>
      </c>
      <c r="AM193" s="117">
        <f t="shared" si="59"/>
        <v>-1700000</v>
      </c>
      <c r="AN193" s="20"/>
    </row>
    <row r="194" spans="15:45">
      <c r="Q194" s="168" t="s">
        <v>4437</v>
      </c>
      <c r="R194" s="56">
        <v>52204</v>
      </c>
      <c r="S194" s="113">
        <f>R194*$T$341</f>
        <v>25235693.945783462</v>
      </c>
      <c r="T194" s="168"/>
      <c r="U194" s="213">
        <f>$Q$190*$T$190*S194/$R$219</f>
        <v>10.698151889001313</v>
      </c>
      <c r="V194" s="95">
        <f t="shared" si="60"/>
        <v>25235704.643935353</v>
      </c>
      <c r="W194" s="99">
        <f>R194*100/U338</f>
        <v>1.4264202518668416</v>
      </c>
      <c r="X194" s="115"/>
      <c r="AH194" s="99">
        <v>174</v>
      </c>
      <c r="AI194" s="113" t="s">
        <v>5292</v>
      </c>
      <c r="AJ194" s="113">
        <v>10000000</v>
      </c>
      <c r="AK194" s="99">
        <v>1</v>
      </c>
      <c r="AL194" s="20">
        <f t="shared" si="58"/>
        <v>16</v>
      </c>
      <c r="AM194" s="117">
        <f t="shared" si="59"/>
        <v>160000000</v>
      </c>
      <c r="AN194" s="20" t="s">
        <v>4747</v>
      </c>
      <c r="AS194" t="s">
        <v>25</v>
      </c>
    </row>
    <row r="195" spans="15:45">
      <c r="Q195" s="168" t="s">
        <v>1085</v>
      </c>
      <c r="R195" s="56">
        <v>238081</v>
      </c>
      <c r="S195" s="113">
        <f>R195*$T$341</f>
        <v>115089633.94195986</v>
      </c>
      <c r="T195" s="168"/>
      <c r="U195" s="213">
        <f>$Q$190*$T$190*S195/$R$219</f>
        <v>48.789876252496384</v>
      </c>
      <c r="V195" s="95">
        <f>S195+U195</f>
        <v>115089682.73183611</v>
      </c>
      <c r="W195" s="99">
        <f>R195*100/U338</f>
        <v>6.5053168336661846</v>
      </c>
      <c r="X195" s="115"/>
      <c r="AH195" s="99">
        <v>175</v>
      </c>
      <c r="AI195" s="113" t="s">
        <v>5301</v>
      </c>
      <c r="AJ195" s="113">
        <v>-400000</v>
      </c>
      <c r="AK195" s="99">
        <v>6</v>
      </c>
      <c r="AL195" s="20">
        <f t="shared" ref="AL195:AL206" si="61">AL196+AK195</f>
        <v>15</v>
      </c>
      <c r="AM195" s="117">
        <f t="shared" ref="AM195:AM206" si="62">AJ195*AL195</f>
        <v>-6000000</v>
      </c>
      <c r="AN195" s="20"/>
    </row>
    <row r="196" spans="15:45">
      <c r="Q196" s="168"/>
      <c r="R196" s="56"/>
      <c r="S196" s="168"/>
      <c r="T196" s="168"/>
      <c r="U196" s="168"/>
      <c r="V196" s="168"/>
      <c r="W196" s="99"/>
      <c r="X196" s="96"/>
      <c r="AH196" s="99">
        <v>176</v>
      </c>
      <c r="AI196" s="113" t="s">
        <v>5314</v>
      </c>
      <c r="AJ196" s="113">
        <v>1300000</v>
      </c>
      <c r="AK196" s="99">
        <v>0</v>
      </c>
      <c r="AL196" s="20">
        <f t="shared" si="61"/>
        <v>9</v>
      </c>
      <c r="AM196" s="117">
        <f t="shared" si="62"/>
        <v>11700000</v>
      </c>
      <c r="AN196" s="20"/>
      <c r="AR196" t="s">
        <v>25</v>
      </c>
    </row>
    <row r="197" spans="15:45">
      <c r="Q197" s="168"/>
      <c r="R197" s="168"/>
      <c r="S197" s="168"/>
      <c r="T197" s="168"/>
      <c r="U197" s="168"/>
      <c r="V197" s="168"/>
      <c r="W197" s="99"/>
      <c r="X197" s="96"/>
      <c r="Y197" t="s">
        <v>25</v>
      </c>
      <c r="AH197" s="99">
        <v>177</v>
      </c>
      <c r="AI197" s="113" t="s">
        <v>5314</v>
      </c>
      <c r="AJ197" s="113">
        <v>230000</v>
      </c>
      <c r="AK197" s="99">
        <v>1</v>
      </c>
      <c r="AL197" s="20">
        <f t="shared" si="61"/>
        <v>9</v>
      </c>
      <c r="AM197" s="117">
        <f t="shared" si="62"/>
        <v>2070000</v>
      </c>
      <c r="AN197" s="20"/>
    </row>
    <row r="198" spans="15:45">
      <c r="Q198" s="99"/>
      <c r="R198" s="99"/>
      <c r="S198" s="99"/>
      <c r="T198" s="99" t="s">
        <v>25</v>
      </c>
      <c r="U198" s="99"/>
      <c r="V198" s="99"/>
      <c r="W198" s="99"/>
      <c r="X198" s="96"/>
      <c r="AH198" s="99">
        <v>178</v>
      </c>
      <c r="AI198" s="113" t="s">
        <v>5321</v>
      </c>
      <c r="AJ198" s="113">
        <v>880000</v>
      </c>
      <c r="AK198" s="99">
        <v>4</v>
      </c>
      <c r="AL198" s="20">
        <f t="shared" si="61"/>
        <v>8</v>
      </c>
      <c r="AM198" s="117">
        <f t="shared" si="62"/>
        <v>7040000</v>
      </c>
      <c r="AN198" s="20"/>
    </row>
    <row r="199" spans="15:45">
      <c r="Q199" s="99"/>
      <c r="R199" s="99"/>
      <c r="S199" s="99"/>
      <c r="T199" s="99"/>
      <c r="U199" s="99"/>
      <c r="V199" s="99"/>
      <c r="W199" s="99"/>
      <c r="X199" s="96"/>
      <c r="AH199" s="99">
        <v>179</v>
      </c>
      <c r="AI199" s="113" t="s">
        <v>5328</v>
      </c>
      <c r="AJ199" s="113">
        <v>-900000</v>
      </c>
      <c r="AK199" s="99">
        <v>1</v>
      </c>
      <c r="AL199" s="20">
        <f t="shared" si="61"/>
        <v>4</v>
      </c>
      <c r="AM199" s="117">
        <f t="shared" si="62"/>
        <v>-3600000</v>
      </c>
      <c r="AN199" s="20"/>
    </row>
    <row r="200" spans="15:45">
      <c r="Q200" s="99"/>
      <c r="R200" s="99"/>
      <c r="S200" s="99"/>
      <c r="T200" s="99"/>
      <c r="U200" s="99"/>
      <c r="V200" s="99"/>
      <c r="W200" s="99"/>
      <c r="X200" s="96"/>
      <c r="AH200" s="99">
        <v>180</v>
      </c>
      <c r="AI200" s="113" t="s">
        <v>991</v>
      </c>
      <c r="AJ200" s="113">
        <v>-3500000</v>
      </c>
      <c r="AK200" s="99">
        <v>1</v>
      </c>
      <c r="AL200" s="20">
        <f t="shared" si="61"/>
        <v>3</v>
      </c>
      <c r="AM200" s="117">
        <f t="shared" si="62"/>
        <v>-10500000</v>
      </c>
      <c r="AN200" s="20"/>
      <c r="AR200" t="s">
        <v>25</v>
      </c>
    </row>
    <row r="201" spans="15:45">
      <c r="Q201" s="96"/>
      <c r="R201" s="96"/>
      <c r="S201" s="96"/>
      <c r="T201" s="96"/>
      <c r="V201" s="96"/>
      <c r="X201" s="115"/>
      <c r="AH201" s="99">
        <v>181</v>
      </c>
      <c r="AI201" s="113" t="s">
        <v>4273</v>
      </c>
      <c r="AJ201" s="113">
        <v>-1600000</v>
      </c>
      <c r="AK201" s="99">
        <v>1</v>
      </c>
      <c r="AL201" s="20">
        <f t="shared" si="61"/>
        <v>2</v>
      </c>
      <c r="AM201" s="117">
        <f t="shared" si="62"/>
        <v>-3200000</v>
      </c>
      <c r="AN201" s="20"/>
      <c r="AQ201" t="s">
        <v>25</v>
      </c>
    </row>
    <row r="202" spans="15:45">
      <c r="P202" s="114"/>
      <c r="Q202" s="99" t="s">
        <v>5035</v>
      </c>
      <c r="R202" s="95">
        <f>S192-R207</f>
        <v>217111037.53444147</v>
      </c>
      <c r="S202" s="96"/>
      <c r="T202" s="96"/>
      <c r="V202" s="96"/>
      <c r="AH202" s="99">
        <v>182</v>
      </c>
      <c r="AI202" s="113" t="s">
        <v>5344</v>
      </c>
      <c r="AJ202" s="113">
        <v>-800000</v>
      </c>
      <c r="AK202" s="99">
        <v>1</v>
      </c>
      <c r="AL202" s="20">
        <f t="shared" si="61"/>
        <v>1</v>
      </c>
      <c r="AM202" s="117">
        <f t="shared" si="62"/>
        <v>-800000</v>
      </c>
      <c r="AN202" s="20"/>
    </row>
    <row r="203" spans="15:45">
      <c r="O203" t="s">
        <v>25</v>
      </c>
      <c r="P203" s="114"/>
      <c r="Q203" s="99" t="s">
        <v>5036</v>
      </c>
      <c r="R203" s="95">
        <f>S195+S194-R208</f>
        <v>11457343.687743336</v>
      </c>
      <c r="S203" s="96"/>
      <c r="T203" s="96" t="s">
        <v>25</v>
      </c>
      <c r="V203" s="96"/>
      <c r="AH203" s="99"/>
      <c r="AI203" s="113"/>
      <c r="AJ203" s="113"/>
      <c r="AK203" s="99"/>
      <c r="AL203" s="20">
        <f t="shared" si="61"/>
        <v>0</v>
      </c>
      <c r="AM203" s="117">
        <f t="shared" si="62"/>
        <v>0</v>
      </c>
      <c r="AN203" s="20"/>
    </row>
    <row r="204" spans="15:45">
      <c r="P204" s="114"/>
      <c r="Q204" s="96"/>
      <c r="R204" s="96"/>
      <c r="S204" s="96"/>
      <c r="T204" s="96"/>
      <c r="V204" s="96"/>
      <c r="AH204" s="99"/>
      <c r="AI204" s="113"/>
      <c r="AJ204" s="113"/>
      <c r="AK204" s="99"/>
      <c r="AL204" s="20">
        <f t="shared" si="61"/>
        <v>0</v>
      </c>
      <c r="AM204" s="117">
        <f t="shared" si="62"/>
        <v>0</v>
      </c>
      <c r="AN204" s="20"/>
      <c r="AR204" t="s">
        <v>25</v>
      </c>
    </row>
    <row r="205" spans="15:45">
      <c r="P205" s="114"/>
      <c r="Q205" s="96"/>
      <c r="R205" s="96"/>
      <c r="S205" s="96"/>
      <c r="T205" s="99" t="s">
        <v>180</v>
      </c>
      <c r="U205" s="99" t="s">
        <v>4471</v>
      </c>
      <c r="V205" s="99" t="s">
        <v>4472</v>
      </c>
      <c r="W205" s="99" t="s">
        <v>4482</v>
      </c>
      <c r="X205" s="99" t="s">
        <v>8</v>
      </c>
      <c r="AH205" s="99"/>
      <c r="AI205" s="113"/>
      <c r="AJ205" s="113"/>
      <c r="AK205" s="99"/>
      <c r="AL205" s="20">
        <f t="shared" si="61"/>
        <v>0</v>
      </c>
      <c r="AM205" s="117">
        <f t="shared" si="62"/>
        <v>0</v>
      </c>
      <c r="AN205" s="20"/>
    </row>
    <row r="206" spans="15:45">
      <c r="P206" s="114"/>
      <c r="Q206" s="36" t="s">
        <v>4557</v>
      </c>
      <c r="R206" s="95">
        <f>SUM(N47:N54)</f>
        <v>1009694157.5</v>
      </c>
      <c r="T206" s="113" t="s">
        <v>4448</v>
      </c>
      <c r="U206" s="56">
        <v>1000000</v>
      </c>
      <c r="V206" s="113">
        <v>239.024</v>
      </c>
      <c r="W206" s="113">
        <f t="shared" ref="W206:W307" si="63">U206*V206</f>
        <v>239024000</v>
      </c>
      <c r="X206" s="99"/>
      <c r="AH206" s="99"/>
      <c r="AI206" s="113"/>
      <c r="AJ206" s="113"/>
      <c r="AK206" s="99"/>
      <c r="AL206" s="20">
        <f t="shared" si="61"/>
        <v>0</v>
      </c>
      <c r="AM206" s="117">
        <f t="shared" si="62"/>
        <v>0</v>
      </c>
      <c r="AN206" s="20"/>
    </row>
    <row r="207" spans="15:45">
      <c r="Q207" s="99" t="s">
        <v>4439</v>
      </c>
      <c r="R207" s="95">
        <f>SUM(N21:N26)</f>
        <v>629963576.5</v>
      </c>
      <c r="T207" s="168" t="s">
        <v>4430</v>
      </c>
      <c r="U207" s="56">
        <v>5904</v>
      </c>
      <c r="V207" s="113">
        <v>237.148</v>
      </c>
      <c r="W207" s="113">
        <f t="shared" si="63"/>
        <v>1400121.7919999999</v>
      </c>
      <c r="X207" s="99" t="s">
        <v>751</v>
      </c>
      <c r="AH207" s="99"/>
      <c r="AI207" s="113"/>
      <c r="AJ207" s="113"/>
      <c r="AK207" s="99"/>
      <c r="AL207" s="20">
        <f t="shared" si="58"/>
        <v>0</v>
      </c>
      <c r="AM207" s="117">
        <f t="shared" si="59"/>
        <v>0</v>
      </c>
      <c r="AN207" s="20"/>
      <c r="AR207" t="s">
        <v>25</v>
      </c>
    </row>
    <row r="208" spans="15:45">
      <c r="Q208" s="99" t="s">
        <v>4440</v>
      </c>
      <c r="R208" s="95">
        <f>SUM(N29:N34)</f>
        <v>128867984.19999999</v>
      </c>
      <c r="T208" s="168" t="s">
        <v>4224</v>
      </c>
      <c r="U208" s="168">
        <v>1000</v>
      </c>
      <c r="V208" s="113">
        <v>247.393</v>
      </c>
      <c r="W208" s="113">
        <f t="shared" si="63"/>
        <v>247393</v>
      </c>
      <c r="X208" s="99" t="s">
        <v>751</v>
      </c>
      <c r="AH208" s="99"/>
      <c r="AI208" s="99"/>
      <c r="AJ208" s="95">
        <f>SUM(AJ20:AJ207)</f>
        <v>496880059</v>
      </c>
      <c r="AK208" s="99"/>
      <c r="AL208" s="99"/>
      <c r="AM208" s="95">
        <f>SUM(AM20:AM207)</f>
        <v>169229344378</v>
      </c>
      <c r="AN208" s="95">
        <f>AM208*AN211/31</f>
        <v>90985338.153165355</v>
      </c>
    </row>
    <row r="209" spans="16:45">
      <c r="P209" s="114"/>
      <c r="Q209" s="99" t="s">
        <v>4441</v>
      </c>
      <c r="R209" s="95">
        <f>N45</f>
        <v>1339</v>
      </c>
      <c r="T209" s="168" t="s">
        <v>4483</v>
      </c>
      <c r="U209" s="168">
        <v>8071</v>
      </c>
      <c r="V209" s="113">
        <v>247.797</v>
      </c>
      <c r="W209" s="113">
        <f t="shared" si="63"/>
        <v>1999969.5870000001</v>
      </c>
      <c r="X209" s="99" t="s">
        <v>4437</v>
      </c>
      <c r="AH209" s="99"/>
      <c r="AI209" s="99"/>
      <c r="AJ209" s="99" t="s">
        <v>4057</v>
      </c>
      <c r="AK209" s="99"/>
      <c r="AL209" s="99"/>
      <c r="AM209" s="99" t="s">
        <v>284</v>
      </c>
      <c r="AN209" s="99" t="s">
        <v>942</v>
      </c>
      <c r="AP209" t="s">
        <v>25</v>
      </c>
    </row>
    <row r="210" spans="16:45">
      <c r="P210" s="114"/>
      <c r="Q210" s="99" t="s">
        <v>4442</v>
      </c>
      <c r="R210" s="95">
        <f>N20</f>
        <v>217</v>
      </c>
      <c r="T210" s="168" t="s">
        <v>4483</v>
      </c>
      <c r="U210" s="168">
        <v>53672</v>
      </c>
      <c r="V210" s="113">
        <v>247.797</v>
      </c>
      <c r="W210" s="113">
        <f t="shared" si="63"/>
        <v>13299760.584000001</v>
      </c>
      <c r="X210" s="99" t="s">
        <v>452</v>
      </c>
      <c r="Z210" t="s">
        <v>25</v>
      </c>
      <c r="AH210" s="99"/>
      <c r="AI210" s="99"/>
      <c r="AJ210" s="99"/>
      <c r="AK210" s="99"/>
      <c r="AL210" s="99"/>
      <c r="AM210" s="99"/>
      <c r="AN210" s="99"/>
    </row>
    <row r="211" spans="16:45">
      <c r="Q211" s="99" t="s">
        <v>4443</v>
      </c>
      <c r="R211" s="95">
        <f>N28</f>
        <v>44822</v>
      </c>
      <c r="T211" s="168" t="s">
        <v>4491</v>
      </c>
      <c r="U211" s="168">
        <v>4099</v>
      </c>
      <c r="V211" s="113">
        <v>243.93</v>
      </c>
      <c r="W211" s="113">
        <f t="shared" si="63"/>
        <v>999869.07000000007</v>
      </c>
      <c r="X211" s="99" t="s">
        <v>4437</v>
      </c>
      <c r="AH211" s="99"/>
      <c r="AI211" s="99"/>
      <c r="AJ211" s="99"/>
      <c r="AK211" s="99"/>
      <c r="AL211" s="99"/>
      <c r="AM211" s="99" t="s">
        <v>4058</v>
      </c>
      <c r="AN211" s="99">
        <v>1.6667000000000001E-2</v>
      </c>
      <c r="AR211" t="s">
        <v>25</v>
      </c>
    </row>
    <row r="212" spans="16:45">
      <c r="P212" s="114"/>
      <c r="Q212" s="99" t="s">
        <v>5335</v>
      </c>
      <c r="R212" s="95">
        <v>0</v>
      </c>
      <c r="T212" s="168" t="s">
        <v>4491</v>
      </c>
      <c r="U212" s="168">
        <v>9301</v>
      </c>
      <c r="V212" s="113">
        <v>243.93</v>
      </c>
      <c r="W212" s="113">
        <f t="shared" si="63"/>
        <v>2268792.9300000002</v>
      </c>
      <c r="X212" s="99" t="s">
        <v>452</v>
      </c>
      <c r="AH212" s="99"/>
      <c r="AI212" s="99"/>
      <c r="AJ212" s="99"/>
      <c r="AK212" s="99"/>
      <c r="AL212" s="99"/>
      <c r="AM212" s="99"/>
      <c r="AN212" s="99"/>
    </row>
    <row r="213" spans="16:45">
      <c r="Q213" s="99" t="s">
        <v>4912</v>
      </c>
      <c r="R213" s="95">
        <v>590527</v>
      </c>
      <c r="T213" s="168" t="s">
        <v>4497</v>
      </c>
      <c r="U213" s="168">
        <v>8334</v>
      </c>
      <c r="V213" s="113">
        <v>239.97</v>
      </c>
      <c r="W213" s="113">
        <f t="shared" si="63"/>
        <v>1999909.98</v>
      </c>
      <c r="X213" s="99" t="s">
        <v>4437</v>
      </c>
      <c r="AH213" s="99"/>
      <c r="AI213" s="99" t="s">
        <v>4059</v>
      </c>
      <c r="AJ213" s="95">
        <f>AJ208+AN208</f>
        <v>587865397.15316534</v>
      </c>
      <c r="AK213" s="99"/>
      <c r="AL213" s="99"/>
      <c r="AM213" s="99"/>
      <c r="AN213" s="99"/>
      <c r="AR213" t="s">
        <v>25</v>
      </c>
    </row>
    <row r="214" spans="16:45">
      <c r="Q214" s="99" t="s">
        <v>5209</v>
      </c>
      <c r="R214" s="95">
        <v>0</v>
      </c>
      <c r="T214" s="168" t="s">
        <v>4223</v>
      </c>
      <c r="U214" s="168">
        <v>29041</v>
      </c>
      <c r="V214" s="113">
        <v>233.45</v>
      </c>
      <c r="W214" s="113">
        <f t="shared" si="63"/>
        <v>6779621.4499999993</v>
      </c>
      <c r="X214" s="99" t="s">
        <v>751</v>
      </c>
      <c r="AI214" t="s">
        <v>4062</v>
      </c>
      <c r="AJ214" s="114">
        <f>SUM(N45:N54)</f>
        <v>1009695496.5</v>
      </c>
      <c r="AM214" t="s">
        <v>25</v>
      </c>
      <c r="AQ214" t="s">
        <v>25</v>
      </c>
    </row>
    <row r="215" spans="16:45">
      <c r="P215" s="114"/>
      <c r="Q215" s="99"/>
      <c r="R215" s="95"/>
      <c r="S215" s="115"/>
      <c r="T215" s="168" t="s">
        <v>993</v>
      </c>
      <c r="U215" s="168">
        <v>12337</v>
      </c>
      <c r="V215" s="113">
        <v>243.16300000000001</v>
      </c>
      <c r="W215" s="113">
        <f t="shared" si="63"/>
        <v>2999901.9310000003</v>
      </c>
      <c r="X215" s="99" t="s">
        <v>4437</v>
      </c>
      <c r="AI215" t="s">
        <v>4134</v>
      </c>
      <c r="AJ215" s="114">
        <f>AJ214-AJ208</f>
        <v>512815437.5</v>
      </c>
      <c r="AM215" t="s">
        <v>25</v>
      </c>
    </row>
    <row r="216" spans="16:45">
      <c r="Q216" s="99"/>
      <c r="R216" s="95"/>
      <c r="S216" s="122"/>
      <c r="T216" s="168" t="s">
        <v>4578</v>
      </c>
      <c r="U216" s="168">
        <v>-16118</v>
      </c>
      <c r="V216" s="113">
        <v>248.17</v>
      </c>
      <c r="W216" s="113">
        <f t="shared" si="63"/>
        <v>-4000004.0599999996</v>
      </c>
      <c r="X216" s="99" t="s">
        <v>751</v>
      </c>
      <c r="AI216" t="s">
        <v>942</v>
      </c>
      <c r="AJ216" s="114">
        <f>AN208</f>
        <v>90985338.153165355</v>
      </c>
      <c r="AN216" t="s">
        <v>25</v>
      </c>
    </row>
    <row r="217" spans="16:45">
      <c r="Q217" s="99"/>
      <c r="R217" s="95"/>
      <c r="S217" s="115"/>
      <c r="T217" s="168" t="s">
        <v>4606</v>
      </c>
      <c r="U217" s="168">
        <v>101681</v>
      </c>
      <c r="V217" s="113">
        <v>246.5711</v>
      </c>
      <c r="W217" s="113">
        <f t="shared" si="63"/>
        <v>25071596.019099999</v>
      </c>
      <c r="X217" s="99" t="s">
        <v>452</v>
      </c>
      <c r="AI217" t="s">
        <v>4063</v>
      </c>
      <c r="AJ217" s="114">
        <f>AJ214-AJ213</f>
        <v>421830099.34683466</v>
      </c>
      <c r="AN217" t="s">
        <v>25</v>
      </c>
    </row>
    <row r="218" spans="16:45">
      <c r="Q218" s="99" t="s">
        <v>5210</v>
      </c>
      <c r="R218" s="95">
        <v>0</v>
      </c>
      <c r="S218" s="115"/>
      <c r="T218" s="168" t="s">
        <v>4610</v>
      </c>
      <c r="U218" s="168">
        <v>66606</v>
      </c>
      <c r="V218" s="113">
        <v>251.131</v>
      </c>
      <c r="W218" s="113">
        <f t="shared" si="63"/>
        <v>16726831.386</v>
      </c>
      <c r="X218" s="99" t="s">
        <v>751</v>
      </c>
      <c r="AM218" t="s">
        <v>25</v>
      </c>
      <c r="AS218" t="s">
        <v>25</v>
      </c>
    </row>
    <row r="219" spans="16:45">
      <c r="Q219" s="99" t="s">
        <v>4447</v>
      </c>
      <c r="R219" s="95">
        <f>SUM(R206:R218)</f>
        <v>1769162623.2</v>
      </c>
      <c r="T219" s="168" t="s">
        <v>4615</v>
      </c>
      <c r="U219" s="168">
        <v>172025</v>
      </c>
      <c r="V219" s="113">
        <v>245.52809999999999</v>
      </c>
      <c r="W219" s="113">
        <f t="shared" si="63"/>
        <v>42236971.402499996</v>
      </c>
      <c r="X219" s="99" t="s">
        <v>452</v>
      </c>
      <c r="AJ219" t="s">
        <v>25</v>
      </c>
    </row>
    <row r="220" spans="16:45">
      <c r="Q220" s="96"/>
      <c r="T220" s="168" t="s">
        <v>4615</v>
      </c>
      <c r="U220" s="168">
        <v>189227</v>
      </c>
      <c r="V220" s="113">
        <v>245.52809999999999</v>
      </c>
      <c r="W220" s="113">
        <f t="shared" si="63"/>
        <v>46460545.778700002</v>
      </c>
      <c r="X220" s="99" t="s">
        <v>751</v>
      </c>
    </row>
    <row r="221" spans="16:45">
      <c r="T221" s="168" t="s">
        <v>4616</v>
      </c>
      <c r="U221" s="168">
        <v>79720</v>
      </c>
      <c r="V221" s="113">
        <v>246.6568</v>
      </c>
      <c r="W221" s="113">
        <f t="shared" si="63"/>
        <v>19663480.096000001</v>
      </c>
      <c r="X221" s="99" t="s">
        <v>452</v>
      </c>
    </row>
    <row r="222" spans="16:45">
      <c r="Q222" s="99" t="s">
        <v>8</v>
      </c>
      <c r="R222" s="99" t="s">
        <v>4437</v>
      </c>
      <c r="S222" s="99"/>
      <c r="T222" s="168" t="s">
        <v>4616</v>
      </c>
      <c r="U222" s="168">
        <v>79720</v>
      </c>
      <c r="V222" s="113">
        <v>246.6568</v>
      </c>
      <c r="W222" s="113">
        <f t="shared" si="63"/>
        <v>19663480.096000001</v>
      </c>
      <c r="X222" s="99" t="s">
        <v>751</v>
      </c>
    </row>
    <row r="223" spans="16:45">
      <c r="Q223" s="99"/>
      <c r="R223" s="36" t="s">
        <v>180</v>
      </c>
      <c r="S223" s="99" t="s">
        <v>267</v>
      </c>
      <c r="T223" s="168" t="s">
        <v>4640</v>
      </c>
      <c r="U223" s="168">
        <v>17769</v>
      </c>
      <c r="V223" s="113">
        <v>246.17877999999999</v>
      </c>
      <c r="W223" s="113">
        <f t="shared" si="63"/>
        <v>4374350.7418200001</v>
      </c>
      <c r="X223" s="99" t="s">
        <v>751</v>
      </c>
    </row>
    <row r="224" spans="16:45">
      <c r="Q224" s="99"/>
      <c r="R224" s="99" t="s">
        <v>4430</v>
      </c>
      <c r="S224" s="95">
        <v>3000000</v>
      </c>
      <c r="T224" s="168" t="s">
        <v>4640</v>
      </c>
      <c r="U224" s="168">
        <v>17769</v>
      </c>
      <c r="V224" s="113">
        <v>246.17877999999999</v>
      </c>
      <c r="W224" s="113">
        <f t="shared" si="63"/>
        <v>4374350.7418200001</v>
      </c>
      <c r="X224" s="99" t="s">
        <v>452</v>
      </c>
      <c r="Z224" t="s">
        <v>25</v>
      </c>
      <c r="AH224" s="99" t="s">
        <v>3639</v>
      </c>
      <c r="AI224" s="99" t="s">
        <v>180</v>
      </c>
      <c r="AJ224" s="99" t="s">
        <v>267</v>
      </c>
      <c r="AK224" s="99" t="s">
        <v>4056</v>
      </c>
      <c r="AL224" s="99" t="s">
        <v>4048</v>
      </c>
      <c r="AM224" s="99" t="s">
        <v>282</v>
      </c>
      <c r="AN224" s="99" t="s">
        <v>4285</v>
      </c>
    </row>
    <row r="225" spans="17:44">
      <c r="Q225" s="99"/>
      <c r="R225" s="99" t="s">
        <v>4483</v>
      </c>
      <c r="S225" s="95">
        <v>2000000</v>
      </c>
      <c r="T225" s="168" t="s">
        <v>4643</v>
      </c>
      <c r="U225" s="168">
        <v>12438</v>
      </c>
      <c r="V225" s="113">
        <v>241.20465999999999</v>
      </c>
      <c r="W225" s="113">
        <f t="shared" si="63"/>
        <v>3000103.5610799999</v>
      </c>
      <c r="X225" s="99" t="s">
        <v>4437</v>
      </c>
      <c r="AH225" s="99">
        <v>1</v>
      </c>
      <c r="AI225" s="99" t="s">
        <v>3947</v>
      </c>
      <c r="AJ225" s="117">
        <v>3555820</v>
      </c>
      <c r="AK225" s="99">
        <v>2</v>
      </c>
      <c r="AL225" s="99">
        <f>AK225+AL226</f>
        <v>457</v>
      </c>
      <c r="AM225" s="99">
        <f>AJ225*AL225</f>
        <v>1625009740</v>
      </c>
      <c r="AN225" s="99" t="s">
        <v>4305</v>
      </c>
    </row>
    <row r="226" spans="17:44">
      <c r="Q226" s="99"/>
      <c r="R226" s="99" t="s">
        <v>4491</v>
      </c>
      <c r="S226" s="95">
        <v>1000000</v>
      </c>
      <c r="T226" s="168" t="s">
        <v>4652</v>
      </c>
      <c r="U226" s="168">
        <v>27363</v>
      </c>
      <c r="V226" s="113">
        <v>239.3886</v>
      </c>
      <c r="W226" s="113">
        <f t="shared" si="63"/>
        <v>6550390.2617999995</v>
      </c>
      <c r="X226" s="99" t="s">
        <v>751</v>
      </c>
      <c r="Y226" t="s">
        <v>25</v>
      </c>
      <c r="AH226" s="99">
        <v>2</v>
      </c>
      <c r="AI226" s="99" t="s">
        <v>4022</v>
      </c>
      <c r="AJ226" s="117">
        <v>1720837</v>
      </c>
      <c r="AK226" s="99">
        <v>51</v>
      </c>
      <c r="AL226" s="99">
        <f t="shared" ref="AL226:AL235" si="64">AK226+AL227</f>
        <v>455</v>
      </c>
      <c r="AM226" s="99">
        <f t="shared" ref="AM226:AM254" si="65">AJ226*AL226</f>
        <v>782980835</v>
      </c>
      <c r="AN226" s="99" t="s">
        <v>4306</v>
      </c>
    </row>
    <row r="227" spans="17:44">
      <c r="Q227" s="99"/>
      <c r="R227" s="99" t="s">
        <v>4497</v>
      </c>
      <c r="S227" s="95">
        <v>2000000</v>
      </c>
      <c r="T227" s="168" t="s">
        <v>4652</v>
      </c>
      <c r="U227" s="168">
        <v>27363</v>
      </c>
      <c r="V227" s="113">
        <v>239.3886</v>
      </c>
      <c r="W227" s="113">
        <f t="shared" si="63"/>
        <v>6550390.2617999995</v>
      </c>
      <c r="X227" s="99" t="s">
        <v>452</v>
      </c>
      <c r="AH227" s="99">
        <v>3</v>
      </c>
      <c r="AI227" s="99" t="s">
        <v>4128</v>
      </c>
      <c r="AJ227" s="117">
        <v>150000</v>
      </c>
      <c r="AK227" s="99">
        <v>3</v>
      </c>
      <c r="AL227" s="99">
        <f t="shared" si="64"/>
        <v>404</v>
      </c>
      <c r="AM227" s="99">
        <f t="shared" si="65"/>
        <v>60600000</v>
      </c>
      <c r="AN227" s="99"/>
    </row>
    <row r="228" spans="17:44">
      <c r="Q228" s="99"/>
      <c r="R228" s="99" t="s">
        <v>993</v>
      </c>
      <c r="S228" s="95">
        <v>3000000</v>
      </c>
      <c r="T228" s="210" t="s">
        <v>4654</v>
      </c>
      <c r="U228" s="210">
        <v>27437</v>
      </c>
      <c r="V228" s="113">
        <v>242.4015</v>
      </c>
      <c r="W228" s="113">
        <f t="shared" si="63"/>
        <v>6650769.9555000002</v>
      </c>
      <c r="X228" s="99" t="s">
        <v>751</v>
      </c>
      <c r="Y228" s="96"/>
      <c r="AH228" s="99">
        <v>4</v>
      </c>
      <c r="AI228" s="99" t="s">
        <v>4143</v>
      </c>
      <c r="AJ228" s="117">
        <v>-95000</v>
      </c>
      <c r="AK228" s="99">
        <v>8</v>
      </c>
      <c r="AL228" s="99">
        <f t="shared" si="64"/>
        <v>401</v>
      </c>
      <c r="AM228" s="99">
        <f t="shared" si="65"/>
        <v>-38095000</v>
      </c>
      <c r="AN228" s="99"/>
    </row>
    <row r="229" spans="17:44">
      <c r="Q229" s="99"/>
      <c r="R229" s="99" t="s">
        <v>4643</v>
      </c>
      <c r="S229" s="95">
        <v>3000000</v>
      </c>
      <c r="T229" s="210" t="s">
        <v>4654</v>
      </c>
      <c r="U229" s="210">
        <v>29104</v>
      </c>
      <c r="V229" s="113">
        <v>242.4015</v>
      </c>
      <c r="W229" s="113">
        <f t="shared" si="63"/>
        <v>7054853.2560000001</v>
      </c>
      <c r="X229" s="99" t="s">
        <v>452</v>
      </c>
      <c r="Y229" t="s">
        <v>25</v>
      </c>
      <c r="AH229" s="99">
        <v>5</v>
      </c>
      <c r="AI229" s="99" t="s">
        <v>4168</v>
      </c>
      <c r="AJ229" s="117">
        <v>3150000</v>
      </c>
      <c r="AK229" s="99">
        <v>16</v>
      </c>
      <c r="AL229" s="99">
        <f t="shared" si="64"/>
        <v>393</v>
      </c>
      <c r="AM229" s="99">
        <f t="shared" si="65"/>
        <v>1237950000</v>
      </c>
      <c r="AN229" s="99"/>
    </row>
    <row r="230" spans="17:44">
      <c r="Q230" s="99" t="s">
        <v>4831</v>
      </c>
      <c r="R230" s="99" t="s">
        <v>4826</v>
      </c>
      <c r="S230" s="95">
        <v>-800000</v>
      </c>
      <c r="T230" s="213" t="s">
        <v>4677</v>
      </c>
      <c r="U230" s="213">
        <v>8991</v>
      </c>
      <c r="V230" s="113">
        <v>238.64867000000001</v>
      </c>
      <c r="W230" s="113">
        <f t="shared" si="63"/>
        <v>2145690.19197</v>
      </c>
      <c r="X230" s="99" t="s">
        <v>751</v>
      </c>
      <c r="AH230" s="99">
        <v>6</v>
      </c>
      <c r="AI230" s="99" t="s">
        <v>4233</v>
      </c>
      <c r="AJ230" s="117">
        <v>-65000</v>
      </c>
      <c r="AK230" s="99">
        <v>1</v>
      </c>
      <c r="AL230" s="99">
        <f t="shared" si="64"/>
        <v>377</v>
      </c>
      <c r="AM230" s="99">
        <f t="shared" si="65"/>
        <v>-24505000</v>
      </c>
      <c r="AN230" s="99"/>
      <c r="AQ230" t="s">
        <v>25</v>
      </c>
    </row>
    <row r="231" spans="17:44">
      <c r="Q231" s="99" t="s">
        <v>4832</v>
      </c>
      <c r="R231" s="99" t="s">
        <v>4826</v>
      </c>
      <c r="S231" s="95">
        <v>-900000</v>
      </c>
      <c r="T231" s="213" t="s">
        <v>4677</v>
      </c>
      <c r="U231" s="213">
        <v>8991</v>
      </c>
      <c r="V231" s="113">
        <v>238.64867000000001</v>
      </c>
      <c r="W231" s="113">
        <f t="shared" si="63"/>
        <v>2145690.19197</v>
      </c>
      <c r="X231" s="99" t="s">
        <v>452</v>
      </c>
      <c r="AH231" s="99">
        <v>7</v>
      </c>
      <c r="AI231" s="99" t="s">
        <v>4307</v>
      </c>
      <c r="AJ231" s="117">
        <v>-95000</v>
      </c>
      <c r="AK231" s="99">
        <v>6</v>
      </c>
      <c r="AL231" s="99">
        <f t="shared" si="64"/>
        <v>376</v>
      </c>
      <c r="AM231" s="99">
        <f t="shared" si="65"/>
        <v>-35720000</v>
      </c>
      <c r="AN231" s="99"/>
    </row>
    <row r="232" spans="17:44">
      <c r="Q232" s="99" t="s">
        <v>4832</v>
      </c>
      <c r="R232" s="99" t="s">
        <v>980</v>
      </c>
      <c r="S232" s="95">
        <v>-1100000</v>
      </c>
      <c r="T232" s="213" t="s">
        <v>4688</v>
      </c>
      <c r="U232" s="213">
        <v>18170</v>
      </c>
      <c r="V232" s="113">
        <v>240.48475999999999</v>
      </c>
      <c r="W232" s="113">
        <f t="shared" si="63"/>
        <v>4369608.0892000003</v>
      </c>
      <c r="X232" s="99" t="s">
        <v>751</v>
      </c>
      <c r="AH232" s="99">
        <v>8</v>
      </c>
      <c r="AI232" s="99" t="s">
        <v>4308</v>
      </c>
      <c r="AJ232" s="117">
        <v>232000</v>
      </c>
      <c r="AK232" s="99">
        <v>7</v>
      </c>
      <c r="AL232" s="99">
        <f t="shared" si="64"/>
        <v>370</v>
      </c>
      <c r="AM232" s="99">
        <f t="shared" si="65"/>
        <v>85840000</v>
      </c>
      <c r="AN232" s="99"/>
    </row>
    <row r="233" spans="17:44">
      <c r="Q233" s="195" t="s">
        <v>1085</v>
      </c>
      <c r="R233" s="195" t="s">
        <v>4855</v>
      </c>
      <c r="S233" s="241">
        <v>30000000</v>
      </c>
      <c r="T233" s="213" t="s">
        <v>4688</v>
      </c>
      <c r="U233" s="213">
        <v>18170</v>
      </c>
      <c r="V233" s="113">
        <v>240.48475999999999</v>
      </c>
      <c r="W233" s="113">
        <f t="shared" si="63"/>
        <v>4369608.0892000003</v>
      </c>
      <c r="X233" s="99" t="s">
        <v>452</v>
      </c>
      <c r="Y233" t="s">
        <v>25</v>
      </c>
      <c r="AH233" s="99">
        <v>9</v>
      </c>
      <c r="AI233" s="99" t="s">
        <v>4284</v>
      </c>
      <c r="AJ233" s="117">
        <v>13000000</v>
      </c>
      <c r="AK233" s="99">
        <v>2</v>
      </c>
      <c r="AL233" s="99">
        <f t="shared" si="64"/>
        <v>363</v>
      </c>
      <c r="AM233" s="99">
        <f t="shared" si="65"/>
        <v>4719000000</v>
      </c>
      <c r="AN233" s="99"/>
    </row>
    <row r="234" spans="17:44">
      <c r="Q234" s="20" t="s">
        <v>4940</v>
      </c>
      <c r="R234" s="20" t="s">
        <v>4938</v>
      </c>
      <c r="S234" s="246">
        <v>2000000</v>
      </c>
      <c r="T234" s="213" t="s">
        <v>4690</v>
      </c>
      <c r="U234" s="213">
        <v>36797</v>
      </c>
      <c r="V234" s="113">
        <v>239.0822</v>
      </c>
      <c r="W234" s="113">
        <f t="shared" si="63"/>
        <v>8797507.7134000007</v>
      </c>
      <c r="X234" s="99" t="s">
        <v>751</v>
      </c>
      <c r="AH234" s="99">
        <v>10</v>
      </c>
      <c r="AI234" s="99" t="s">
        <v>4309</v>
      </c>
      <c r="AJ234" s="117">
        <v>10000000</v>
      </c>
      <c r="AK234" s="99">
        <v>3</v>
      </c>
      <c r="AL234" s="99">
        <f t="shared" si="64"/>
        <v>361</v>
      </c>
      <c r="AM234" s="99">
        <f t="shared" si="65"/>
        <v>3610000000</v>
      </c>
      <c r="AN234" s="99"/>
    </row>
    <row r="235" spans="17:44">
      <c r="Q235" s="149" t="s">
        <v>4965</v>
      </c>
      <c r="R235" s="149" t="s">
        <v>4964</v>
      </c>
      <c r="S235" s="150">
        <v>480105</v>
      </c>
      <c r="T235" s="213" t="s">
        <v>4690</v>
      </c>
      <c r="U235" s="213">
        <v>36797</v>
      </c>
      <c r="V235" s="113">
        <v>239.0822</v>
      </c>
      <c r="W235" s="113">
        <f t="shared" si="63"/>
        <v>8797507.7134000007</v>
      </c>
      <c r="X235" s="99" t="s">
        <v>452</v>
      </c>
      <c r="Z235" t="s">
        <v>25</v>
      </c>
      <c r="AA235" t="s">
        <v>25</v>
      </c>
      <c r="AH235" s="99">
        <v>11</v>
      </c>
      <c r="AI235" s="99" t="s">
        <v>4297</v>
      </c>
      <c r="AJ235" s="117">
        <v>3400000</v>
      </c>
      <c r="AK235" s="99">
        <v>9</v>
      </c>
      <c r="AL235" s="99">
        <f t="shared" si="64"/>
        <v>358</v>
      </c>
      <c r="AM235" s="99">
        <f t="shared" si="65"/>
        <v>1217200000</v>
      </c>
      <c r="AN235" s="99"/>
    </row>
    <row r="236" spans="17:44">
      <c r="Q236" s="149"/>
      <c r="R236" s="149" t="s">
        <v>5017</v>
      </c>
      <c r="S236" s="150">
        <v>30500000</v>
      </c>
      <c r="T236" s="213" t="s">
        <v>4699</v>
      </c>
      <c r="U236" s="213">
        <v>28066</v>
      </c>
      <c r="V236" s="113">
        <v>237.56970000000001</v>
      </c>
      <c r="W236" s="113">
        <f t="shared" si="63"/>
        <v>6667631.2002000008</v>
      </c>
      <c r="X236" s="99" t="s">
        <v>751</v>
      </c>
      <c r="AH236" s="99">
        <v>12</v>
      </c>
      <c r="AI236" s="99" t="s">
        <v>4338</v>
      </c>
      <c r="AJ236" s="117">
        <v>-8736514</v>
      </c>
      <c r="AK236" s="99">
        <v>1</v>
      </c>
      <c r="AL236" s="99">
        <f>AK236+AL237</f>
        <v>349</v>
      </c>
      <c r="AM236" s="99">
        <f t="shared" si="65"/>
        <v>-3049043386</v>
      </c>
      <c r="AN236" s="99"/>
    </row>
    <row r="237" spans="17:44">
      <c r="Q237" s="20" t="s">
        <v>5062</v>
      </c>
      <c r="R237" s="20" t="s">
        <v>5057</v>
      </c>
      <c r="S237" s="246">
        <v>-400000</v>
      </c>
      <c r="T237" s="213" t="s">
        <v>4699</v>
      </c>
      <c r="U237" s="213">
        <v>28066</v>
      </c>
      <c r="V237" s="113">
        <v>237.56970000000001</v>
      </c>
      <c r="W237" s="113">
        <f t="shared" si="63"/>
        <v>6667631.2002000008</v>
      </c>
      <c r="X237" s="99" t="s">
        <v>452</v>
      </c>
      <c r="Y237" t="s">
        <v>25</v>
      </c>
      <c r="AH237" s="99">
        <v>13</v>
      </c>
      <c r="AI237" s="99" t="s">
        <v>4339</v>
      </c>
      <c r="AJ237" s="117">
        <v>555000</v>
      </c>
      <c r="AK237" s="99">
        <v>5</v>
      </c>
      <c r="AL237" s="99">
        <f t="shared" ref="AL237:AL253" si="66">AK237+AL238</f>
        <v>348</v>
      </c>
      <c r="AM237" s="99">
        <f t="shared" si="65"/>
        <v>193140000</v>
      </c>
      <c r="AN237" s="99"/>
    </row>
    <row r="238" spans="17:44">
      <c r="Q238" s="149" t="s">
        <v>5205</v>
      </c>
      <c r="R238" s="149" t="s">
        <v>5100</v>
      </c>
      <c r="S238" s="150">
        <v>-349550</v>
      </c>
      <c r="T238" s="213" t="s">
        <v>3682</v>
      </c>
      <c r="U238" s="213">
        <v>37457</v>
      </c>
      <c r="V238" s="113">
        <v>239.77</v>
      </c>
      <c r="W238" s="113">
        <f t="shared" si="63"/>
        <v>8981064.8900000006</v>
      </c>
      <c r="X238" s="99" t="s">
        <v>751</v>
      </c>
      <c r="AH238" s="99">
        <v>14</v>
      </c>
      <c r="AI238" s="99" t="s">
        <v>4363</v>
      </c>
      <c r="AJ238" s="117">
        <v>-448308</v>
      </c>
      <c r="AK238" s="99">
        <v>6</v>
      </c>
      <c r="AL238" s="99">
        <f t="shared" si="66"/>
        <v>343</v>
      </c>
      <c r="AM238" s="99">
        <f t="shared" si="65"/>
        <v>-153769644</v>
      </c>
      <c r="AN238" s="99"/>
      <c r="AR238" t="s">
        <v>25</v>
      </c>
    </row>
    <row r="239" spans="17:44">
      <c r="Q239" s="149" t="s">
        <v>5245</v>
      </c>
      <c r="R239" s="149" t="s">
        <v>5241</v>
      </c>
      <c r="S239" s="150">
        <v>11500000</v>
      </c>
      <c r="T239" s="213" t="s">
        <v>3682</v>
      </c>
      <c r="U239" s="213">
        <v>37457</v>
      </c>
      <c r="V239" s="113">
        <v>239.77</v>
      </c>
      <c r="W239" s="113">
        <f t="shared" si="63"/>
        <v>8981064.8900000006</v>
      </c>
      <c r="X239" s="99" t="s">
        <v>452</v>
      </c>
      <c r="AH239" s="99">
        <v>15</v>
      </c>
      <c r="AI239" s="99" t="s">
        <v>4393</v>
      </c>
      <c r="AJ239" s="117">
        <v>33225</v>
      </c>
      <c r="AK239" s="99">
        <v>0</v>
      </c>
      <c r="AL239" s="99">
        <f t="shared" si="66"/>
        <v>337</v>
      </c>
      <c r="AM239" s="99">
        <f t="shared" si="65"/>
        <v>11196825</v>
      </c>
      <c r="AN239" s="99"/>
      <c r="AR239" t="s">
        <v>25</v>
      </c>
    </row>
    <row r="240" spans="17:44">
      <c r="Q240" s="149" t="s">
        <v>5279</v>
      </c>
      <c r="R240" s="149" t="s">
        <v>5276</v>
      </c>
      <c r="S240" s="150">
        <v>6000000</v>
      </c>
      <c r="T240" s="213" t="s">
        <v>4712</v>
      </c>
      <c r="U240" s="213">
        <v>38412</v>
      </c>
      <c r="V240" s="113">
        <v>239.03</v>
      </c>
      <c r="W240" s="113">
        <f t="shared" si="63"/>
        <v>9181620.3599999994</v>
      </c>
      <c r="X240" s="99" t="s">
        <v>751</v>
      </c>
      <c r="AH240" s="149">
        <v>16</v>
      </c>
      <c r="AI240" s="149" t="s">
        <v>4393</v>
      </c>
      <c r="AJ240" s="188">
        <v>4098523</v>
      </c>
      <c r="AK240" s="149">
        <v>2</v>
      </c>
      <c r="AL240" s="149">
        <f t="shared" si="66"/>
        <v>337</v>
      </c>
      <c r="AM240" s="149">
        <f t="shared" si="65"/>
        <v>1381202251</v>
      </c>
      <c r="AN240" s="149" t="s">
        <v>657</v>
      </c>
    </row>
    <row r="241" spans="16:43">
      <c r="Q241" s="149" t="s">
        <v>5282</v>
      </c>
      <c r="R241" s="149" t="s">
        <v>5281</v>
      </c>
      <c r="S241" s="150">
        <v>1500000</v>
      </c>
      <c r="T241" s="213" t="s">
        <v>4712</v>
      </c>
      <c r="U241" s="213">
        <v>38412</v>
      </c>
      <c r="V241" s="113">
        <v>239.03</v>
      </c>
      <c r="W241" s="113">
        <f t="shared" si="63"/>
        <v>9181620.3599999994</v>
      </c>
      <c r="X241" s="99" t="s">
        <v>452</v>
      </c>
      <c r="AH241" s="149">
        <v>17</v>
      </c>
      <c r="AI241" s="149" t="s">
        <v>4406</v>
      </c>
      <c r="AJ241" s="188">
        <v>-1000000</v>
      </c>
      <c r="AK241" s="149">
        <v>7</v>
      </c>
      <c r="AL241" s="149">
        <f t="shared" si="66"/>
        <v>335</v>
      </c>
      <c r="AM241" s="149">
        <f t="shared" si="65"/>
        <v>-335000000</v>
      </c>
      <c r="AN241" s="149" t="s">
        <v>657</v>
      </c>
    </row>
    <row r="242" spans="16:43">
      <c r="Q242" s="20" t="s">
        <v>5062</v>
      </c>
      <c r="R242" s="20" t="s">
        <v>5292</v>
      </c>
      <c r="S242" s="246">
        <v>-200000</v>
      </c>
      <c r="T242" s="213" t="s">
        <v>4716</v>
      </c>
      <c r="U242" s="213">
        <v>49555</v>
      </c>
      <c r="V242" s="113">
        <v>238.345</v>
      </c>
      <c r="W242" s="113">
        <f t="shared" si="63"/>
        <v>11811186.475</v>
      </c>
      <c r="X242" s="99" t="s">
        <v>751</v>
      </c>
      <c r="AH242" s="149">
        <v>18</v>
      </c>
      <c r="AI242" s="149" t="s">
        <v>4426</v>
      </c>
      <c r="AJ242" s="188">
        <v>750000</v>
      </c>
      <c r="AK242" s="149">
        <v>1</v>
      </c>
      <c r="AL242" s="149">
        <f t="shared" si="66"/>
        <v>328</v>
      </c>
      <c r="AM242" s="149">
        <f t="shared" si="65"/>
        <v>246000000</v>
      </c>
      <c r="AN242" s="149" t="s">
        <v>657</v>
      </c>
    </row>
    <row r="243" spans="16:43">
      <c r="Q243" s="195" t="s">
        <v>5329</v>
      </c>
      <c r="R243" s="195" t="s">
        <v>5328</v>
      </c>
      <c r="S243" s="241">
        <v>1000000</v>
      </c>
      <c r="T243" s="213" t="s">
        <v>4716</v>
      </c>
      <c r="U243" s="213">
        <v>49555</v>
      </c>
      <c r="V243" s="113">
        <v>238.345</v>
      </c>
      <c r="W243" s="113">
        <f t="shared" si="63"/>
        <v>11811186.475</v>
      </c>
      <c r="X243" s="99" t="s">
        <v>452</v>
      </c>
      <c r="AH243" s="195">
        <v>19</v>
      </c>
      <c r="AI243" s="195" t="s">
        <v>4428</v>
      </c>
      <c r="AJ243" s="196">
        <v>-604152</v>
      </c>
      <c r="AK243" s="195">
        <v>0</v>
      </c>
      <c r="AL243" s="195">
        <f t="shared" si="66"/>
        <v>327</v>
      </c>
      <c r="AM243" s="195">
        <f t="shared" si="65"/>
        <v>-197557704</v>
      </c>
      <c r="AN243" s="195" t="s">
        <v>657</v>
      </c>
    </row>
    <row r="244" spans="16:43">
      <c r="Q244" s="20" t="s">
        <v>5334</v>
      </c>
      <c r="R244" s="20" t="s">
        <v>991</v>
      </c>
      <c r="S244" s="246">
        <v>-2000000</v>
      </c>
      <c r="T244" s="213" t="s">
        <v>4730</v>
      </c>
      <c r="U244" s="213">
        <v>160187</v>
      </c>
      <c r="V244" s="113">
        <v>257.49799999999999</v>
      </c>
      <c r="W244" s="113">
        <f t="shared" si="63"/>
        <v>41247832.126000002</v>
      </c>
      <c r="X244" s="99" t="s">
        <v>751</v>
      </c>
      <c r="AH244" s="99">
        <v>20</v>
      </c>
      <c r="AI244" s="99" t="s">
        <v>4429</v>
      </c>
      <c r="AJ244" s="117">
        <v>-587083</v>
      </c>
      <c r="AK244" s="99">
        <v>4</v>
      </c>
      <c r="AL244" s="99">
        <f t="shared" si="66"/>
        <v>327</v>
      </c>
      <c r="AM244" s="99">
        <f t="shared" si="65"/>
        <v>-191976141</v>
      </c>
      <c r="AN244" s="99"/>
    </row>
    <row r="245" spans="16:43">
      <c r="Q245" s="99"/>
      <c r="R245" s="99"/>
      <c r="S245" s="95"/>
      <c r="T245" s="213" t="s">
        <v>4730</v>
      </c>
      <c r="U245" s="213">
        <v>160187</v>
      </c>
      <c r="V245" s="113">
        <v>257.49799999999999</v>
      </c>
      <c r="W245" s="113">
        <f t="shared" si="63"/>
        <v>41247832.126000002</v>
      </c>
      <c r="X245" s="99" t="s">
        <v>452</v>
      </c>
      <c r="AH245" s="195">
        <v>21</v>
      </c>
      <c r="AI245" s="195" t="s">
        <v>4430</v>
      </c>
      <c r="AJ245" s="196">
        <v>-754351</v>
      </c>
      <c r="AK245" s="195">
        <v>0</v>
      </c>
      <c r="AL245" s="149">
        <f t="shared" si="66"/>
        <v>323</v>
      </c>
      <c r="AM245" s="195">
        <f t="shared" si="65"/>
        <v>-243655373</v>
      </c>
      <c r="AN245" s="195" t="s">
        <v>657</v>
      </c>
    </row>
    <row r="246" spans="16:43">
      <c r="Q246" s="99"/>
      <c r="R246" s="99"/>
      <c r="S246" s="95">
        <f>SUM(S224:S245)</f>
        <v>91230555</v>
      </c>
      <c r="T246" s="213" t="s">
        <v>4738</v>
      </c>
      <c r="U246" s="213">
        <v>144401</v>
      </c>
      <c r="V246" s="113">
        <v>258.5061</v>
      </c>
      <c r="W246" s="113">
        <f t="shared" si="63"/>
        <v>37328539.346100003</v>
      </c>
      <c r="X246" s="99" t="s">
        <v>751</v>
      </c>
      <c r="AH246" s="99">
        <v>22</v>
      </c>
      <c r="AI246" s="99" t="s">
        <v>4430</v>
      </c>
      <c r="AJ246" s="117">
        <v>-189619</v>
      </c>
      <c r="AK246" s="99">
        <v>15</v>
      </c>
      <c r="AL246" s="99">
        <f t="shared" si="66"/>
        <v>323</v>
      </c>
      <c r="AM246" s="99">
        <f t="shared" si="65"/>
        <v>-61246937</v>
      </c>
      <c r="AN246" s="99"/>
    </row>
    <row r="247" spans="16:43">
      <c r="Q247" s="99"/>
      <c r="R247" s="99"/>
      <c r="S247" s="99" t="s">
        <v>6</v>
      </c>
      <c r="T247" s="213" t="s">
        <v>4738</v>
      </c>
      <c r="U247" s="213">
        <v>144401</v>
      </c>
      <c r="V247" s="113">
        <v>258.5061</v>
      </c>
      <c r="W247" s="113">
        <f t="shared" si="63"/>
        <v>37328539.346100003</v>
      </c>
      <c r="X247" s="99" t="s">
        <v>452</v>
      </c>
      <c r="AH247" s="195">
        <v>23</v>
      </c>
      <c r="AI247" s="195" t="s">
        <v>4501</v>
      </c>
      <c r="AJ247" s="188">
        <v>7100</v>
      </c>
      <c r="AK247" s="195">
        <v>0</v>
      </c>
      <c r="AL247" s="149">
        <f t="shared" si="66"/>
        <v>308</v>
      </c>
      <c r="AM247" s="195">
        <f t="shared" si="65"/>
        <v>2186800</v>
      </c>
      <c r="AN247" s="195" t="s">
        <v>657</v>
      </c>
    </row>
    <row r="248" spans="16:43">
      <c r="P248" t="s">
        <v>25</v>
      </c>
      <c r="T248" s="168" t="s">
        <v>4745</v>
      </c>
      <c r="U248" s="168">
        <v>196500</v>
      </c>
      <c r="V248" s="113">
        <v>254.452</v>
      </c>
      <c r="W248" s="113">
        <f t="shared" si="63"/>
        <v>49999818</v>
      </c>
      <c r="X248" s="99" t="s">
        <v>4749</v>
      </c>
      <c r="AH248" s="20">
        <v>24</v>
      </c>
      <c r="AI248" s="20" t="s">
        <v>4501</v>
      </c>
      <c r="AJ248" s="117">
        <v>-147902</v>
      </c>
      <c r="AK248" s="20">
        <v>3</v>
      </c>
      <c r="AL248" s="99">
        <f t="shared" si="66"/>
        <v>308</v>
      </c>
      <c r="AM248" s="20">
        <f t="shared" si="65"/>
        <v>-45553816</v>
      </c>
      <c r="AN248" s="20"/>
    </row>
    <row r="249" spans="16:43">
      <c r="Q249" s="96"/>
      <c r="R249" s="96" t="s">
        <v>25</v>
      </c>
      <c r="T249" s="213" t="s">
        <v>4745</v>
      </c>
      <c r="U249" s="213">
        <v>2561</v>
      </c>
      <c r="V249" s="113">
        <v>254.536</v>
      </c>
      <c r="W249" s="113">
        <f t="shared" si="63"/>
        <v>651866.696</v>
      </c>
      <c r="X249" s="99" t="s">
        <v>4750</v>
      </c>
      <c r="AH249" s="149">
        <v>25</v>
      </c>
      <c r="AI249" s="149" t="s">
        <v>4509</v>
      </c>
      <c r="AJ249" s="188">
        <v>-37200</v>
      </c>
      <c r="AK249" s="149">
        <v>4</v>
      </c>
      <c r="AL249" s="149">
        <f t="shared" si="66"/>
        <v>305</v>
      </c>
      <c r="AM249" s="195">
        <f t="shared" si="65"/>
        <v>-11346000</v>
      </c>
      <c r="AN249" s="149" t="s">
        <v>657</v>
      </c>
      <c r="AP249" t="s">
        <v>25</v>
      </c>
    </row>
    <row r="250" spans="16:43">
      <c r="Q250" s="96"/>
      <c r="R250" s="96" t="s">
        <v>25</v>
      </c>
      <c r="T250" s="213" t="s">
        <v>4794</v>
      </c>
      <c r="U250" s="213">
        <v>-11795</v>
      </c>
      <c r="V250" s="113">
        <v>254.334</v>
      </c>
      <c r="W250" s="113">
        <f t="shared" si="63"/>
        <v>-2999869.5300000003</v>
      </c>
      <c r="X250" s="99" t="s">
        <v>4795</v>
      </c>
      <c r="Y250" t="s">
        <v>25</v>
      </c>
      <c r="AH250" s="99">
        <v>26</v>
      </c>
      <c r="AI250" s="99" t="s">
        <v>4540</v>
      </c>
      <c r="AJ250" s="117">
        <v>-372326</v>
      </c>
      <c r="AK250" s="99">
        <v>21</v>
      </c>
      <c r="AL250" s="99">
        <f t="shared" si="66"/>
        <v>301</v>
      </c>
      <c r="AM250" s="20">
        <f t="shared" si="65"/>
        <v>-112070126</v>
      </c>
      <c r="AN250" s="99"/>
    </row>
    <row r="251" spans="16:43">
      <c r="T251" s="213" t="s">
        <v>4794</v>
      </c>
      <c r="U251" s="213">
        <v>11795</v>
      </c>
      <c r="V251" s="113">
        <v>254.334</v>
      </c>
      <c r="W251" s="113">
        <f t="shared" si="63"/>
        <v>2999869.5300000003</v>
      </c>
      <c r="X251" s="99" t="s">
        <v>4796</v>
      </c>
      <c r="Y251" t="s">
        <v>25</v>
      </c>
      <c r="AH251" s="99">
        <v>27</v>
      </c>
      <c r="AI251" s="99" t="s">
        <v>4592</v>
      </c>
      <c r="AJ251" s="117">
        <v>235062</v>
      </c>
      <c r="AK251" s="99">
        <v>0</v>
      </c>
      <c r="AL251" s="99">
        <f t="shared" si="66"/>
        <v>280</v>
      </c>
      <c r="AM251" s="20">
        <f t="shared" si="65"/>
        <v>65817360</v>
      </c>
      <c r="AN251" s="99"/>
    </row>
    <row r="252" spans="16:43">
      <c r="Q252" s="99" t="s">
        <v>751</v>
      </c>
      <c r="R252" s="99"/>
      <c r="T252" s="213" t="s">
        <v>4808</v>
      </c>
      <c r="U252" s="213">
        <v>260</v>
      </c>
      <c r="V252" s="113">
        <v>263.19</v>
      </c>
      <c r="W252" s="113">
        <f t="shared" si="63"/>
        <v>68429.399999999994</v>
      </c>
      <c r="X252" s="99" t="s">
        <v>452</v>
      </c>
      <c r="AH252" s="149">
        <v>28</v>
      </c>
      <c r="AI252" s="149" t="s">
        <v>4592</v>
      </c>
      <c r="AJ252" s="188">
        <v>235062</v>
      </c>
      <c r="AK252" s="149">
        <v>9</v>
      </c>
      <c r="AL252" s="99">
        <f t="shared" si="66"/>
        <v>280</v>
      </c>
      <c r="AM252" s="149">
        <f t="shared" si="65"/>
        <v>65817360</v>
      </c>
      <c r="AN252" s="149" t="s">
        <v>657</v>
      </c>
    </row>
    <row r="253" spans="16:43">
      <c r="Q253" s="99" t="s">
        <v>4430</v>
      </c>
      <c r="R253" s="95">
        <v>172908000</v>
      </c>
      <c r="T253" s="213" t="s">
        <v>4821</v>
      </c>
      <c r="U253" s="213">
        <v>15257</v>
      </c>
      <c r="V253" s="113">
        <v>262.19018</v>
      </c>
      <c r="W253" s="113">
        <f t="shared" si="63"/>
        <v>4000235.57626</v>
      </c>
      <c r="X253" s="99" t="s">
        <v>452</v>
      </c>
      <c r="AH253" s="149">
        <v>29</v>
      </c>
      <c r="AI253" s="149" t="s">
        <v>4616</v>
      </c>
      <c r="AJ253" s="188">
        <v>450000</v>
      </c>
      <c r="AK253" s="149">
        <v>0</v>
      </c>
      <c r="AL253" s="99">
        <f t="shared" si="66"/>
        <v>271</v>
      </c>
      <c r="AM253" s="149">
        <f t="shared" si="65"/>
        <v>121950000</v>
      </c>
      <c r="AN253" s="149" t="s">
        <v>657</v>
      </c>
      <c r="AQ253" t="s">
        <v>25</v>
      </c>
    </row>
    <row r="254" spans="16:43">
      <c r="Q254" s="99" t="s">
        <v>4470</v>
      </c>
      <c r="R254" s="95">
        <v>1400000</v>
      </c>
      <c r="T254" s="213" t="s">
        <v>4821</v>
      </c>
      <c r="U254" s="213">
        <v>8444</v>
      </c>
      <c r="V254" s="113">
        <v>266.43029999999999</v>
      </c>
      <c r="W254" s="113">
        <f t="shared" si="63"/>
        <v>2249737.4531999999</v>
      </c>
      <c r="X254" s="99" t="s">
        <v>452</v>
      </c>
      <c r="AH254" s="20">
        <v>30</v>
      </c>
      <c r="AI254" s="20" t="s">
        <v>4616</v>
      </c>
      <c r="AJ254" s="117">
        <v>450000</v>
      </c>
      <c r="AK254" s="20">
        <v>22</v>
      </c>
      <c r="AL254" s="99">
        <f>AK254+AL255</f>
        <v>271</v>
      </c>
      <c r="AM254" s="20">
        <f t="shared" si="65"/>
        <v>121950000</v>
      </c>
      <c r="AN254" s="20"/>
    </row>
    <row r="255" spans="16:43">
      <c r="Q255" s="99" t="s">
        <v>4224</v>
      </c>
      <c r="R255" s="95">
        <v>247393</v>
      </c>
      <c r="S255" t="s">
        <v>25</v>
      </c>
      <c r="T255" s="213" t="s">
        <v>4826</v>
      </c>
      <c r="U255" s="213">
        <v>-6209</v>
      </c>
      <c r="V255" s="113">
        <v>273.79649999999998</v>
      </c>
      <c r="W255" s="113">
        <f t="shared" si="63"/>
        <v>-1700002.4685</v>
      </c>
      <c r="X255" s="99" t="s">
        <v>4837</v>
      </c>
      <c r="AH255" s="149">
        <v>31</v>
      </c>
      <c r="AI255" s="149" t="s">
        <v>4690</v>
      </c>
      <c r="AJ255" s="188">
        <v>300000</v>
      </c>
      <c r="AK255" s="149">
        <v>0</v>
      </c>
      <c r="AL255" s="149">
        <f t="shared" ref="AL255:AL270" si="67">AK255+AL256</f>
        <v>249</v>
      </c>
      <c r="AM255" s="149">
        <f t="shared" ref="AM255:AM258" si="68">AJ255*AL255</f>
        <v>74700000</v>
      </c>
      <c r="AN255" s="149"/>
    </row>
    <row r="256" spans="16:43" ht="30">
      <c r="Q256" s="99" t="s">
        <v>4223</v>
      </c>
      <c r="R256" s="95">
        <v>6780000</v>
      </c>
      <c r="T256" s="213" t="s">
        <v>4826</v>
      </c>
      <c r="U256" s="213">
        <v>-8014</v>
      </c>
      <c r="V256" s="113">
        <v>273.79649999999998</v>
      </c>
      <c r="W256" s="113">
        <f t="shared" si="63"/>
        <v>-2194205.1510000001</v>
      </c>
      <c r="X256" s="99" t="s">
        <v>751</v>
      </c>
      <c r="AH256" s="121">
        <v>32</v>
      </c>
      <c r="AI256" s="121" t="s">
        <v>4690</v>
      </c>
      <c r="AJ256" s="79">
        <v>288936</v>
      </c>
      <c r="AK256" s="121">
        <v>3</v>
      </c>
      <c r="AL256" s="121">
        <f t="shared" si="67"/>
        <v>249</v>
      </c>
      <c r="AM256" s="121">
        <f t="shared" si="68"/>
        <v>71945064</v>
      </c>
      <c r="AN256" s="205" t="s">
        <v>4701</v>
      </c>
    </row>
    <row r="257" spans="17:45">
      <c r="Q257" s="99" t="s">
        <v>4578</v>
      </c>
      <c r="R257" s="95">
        <v>-4000000</v>
      </c>
      <c r="T257" s="213" t="s">
        <v>4835</v>
      </c>
      <c r="U257" s="213">
        <v>-9176</v>
      </c>
      <c r="V257" s="113">
        <v>273.79649999999998</v>
      </c>
      <c r="W257" s="113">
        <f t="shared" si="63"/>
        <v>-2512356.6839999999</v>
      </c>
      <c r="X257" s="99" t="s">
        <v>452</v>
      </c>
      <c r="AH257" s="121">
        <v>33</v>
      </c>
      <c r="AI257" s="121" t="s">
        <v>4699</v>
      </c>
      <c r="AJ257" s="79">
        <v>17962491</v>
      </c>
      <c r="AK257" s="121">
        <v>1</v>
      </c>
      <c r="AL257" s="121">
        <f t="shared" si="67"/>
        <v>246</v>
      </c>
      <c r="AM257" s="121">
        <f t="shared" si="68"/>
        <v>4418772786</v>
      </c>
      <c r="AN257" s="121" t="s">
        <v>4706</v>
      </c>
    </row>
    <row r="258" spans="17:45">
      <c r="Q258" s="99" t="s">
        <v>4610</v>
      </c>
      <c r="R258" s="95">
        <v>16727037</v>
      </c>
      <c r="T258" s="213" t="s">
        <v>4835</v>
      </c>
      <c r="U258" s="213">
        <v>1087</v>
      </c>
      <c r="V258" s="113">
        <v>273.79649999999998</v>
      </c>
      <c r="W258" s="113">
        <f t="shared" si="63"/>
        <v>297616.79550000001</v>
      </c>
      <c r="X258" s="99" t="s">
        <v>452</v>
      </c>
      <c r="Z258" t="s">
        <v>25</v>
      </c>
      <c r="AH258" s="121">
        <v>34</v>
      </c>
      <c r="AI258" s="121" t="s">
        <v>3682</v>
      </c>
      <c r="AJ258" s="79">
        <v>18363511</v>
      </c>
      <c r="AK258" s="121">
        <v>1</v>
      </c>
      <c r="AL258" s="121">
        <f t="shared" si="67"/>
        <v>245</v>
      </c>
      <c r="AM258" s="121">
        <f t="shared" si="68"/>
        <v>4499060195</v>
      </c>
      <c r="AN258" s="121" t="s">
        <v>4706</v>
      </c>
    </row>
    <row r="259" spans="17:45">
      <c r="Q259" s="99" t="s">
        <v>4615</v>
      </c>
      <c r="R259" s="95">
        <v>46460683</v>
      </c>
      <c r="S259" t="s">
        <v>25</v>
      </c>
      <c r="T259" s="213" t="s">
        <v>980</v>
      </c>
      <c r="U259" s="213">
        <v>-4017</v>
      </c>
      <c r="V259" s="113">
        <v>273.79649999999998</v>
      </c>
      <c r="W259" s="113">
        <f t="shared" si="63"/>
        <v>-1099840.5404999999</v>
      </c>
      <c r="X259" s="99" t="s">
        <v>4437</v>
      </c>
      <c r="AH259" s="121">
        <v>35</v>
      </c>
      <c r="AI259" s="121" t="s">
        <v>4712</v>
      </c>
      <c r="AJ259" s="79">
        <v>23622417</v>
      </c>
      <c r="AK259" s="121">
        <v>5</v>
      </c>
      <c r="AL259" s="121">
        <f t="shared" si="67"/>
        <v>244</v>
      </c>
      <c r="AM259" s="121">
        <f t="shared" ref="AM259:AM262" si="69">AJ259*AL259</f>
        <v>5763869748</v>
      </c>
      <c r="AN259" s="121" t="s">
        <v>4715</v>
      </c>
    </row>
    <row r="260" spans="17:45">
      <c r="Q260" s="99" t="s">
        <v>4616</v>
      </c>
      <c r="R260" s="95">
        <v>19663646</v>
      </c>
      <c r="T260" s="213" t="s">
        <v>980</v>
      </c>
      <c r="U260" s="213">
        <v>4017</v>
      </c>
      <c r="V260" s="113">
        <v>273.79649999999998</v>
      </c>
      <c r="W260" s="113">
        <f t="shared" si="63"/>
        <v>1099840.5404999999</v>
      </c>
      <c r="X260" s="99" t="s">
        <v>452</v>
      </c>
      <c r="AH260" s="121">
        <v>36</v>
      </c>
      <c r="AI260" s="121" t="s">
        <v>4728</v>
      </c>
      <c r="AJ260" s="79">
        <v>82496108</v>
      </c>
      <c r="AK260" s="121">
        <v>1</v>
      </c>
      <c r="AL260" s="121">
        <f t="shared" si="67"/>
        <v>239</v>
      </c>
      <c r="AM260" s="121">
        <f t="shared" si="69"/>
        <v>19716569812</v>
      </c>
      <c r="AN260" s="121" t="s">
        <v>4731</v>
      </c>
    </row>
    <row r="261" spans="17:45">
      <c r="Q261" s="99" t="s">
        <v>4640</v>
      </c>
      <c r="R261" s="95">
        <v>4374525</v>
      </c>
      <c r="T261" s="213" t="s">
        <v>4842</v>
      </c>
      <c r="U261" s="213">
        <v>3137</v>
      </c>
      <c r="V261" s="113">
        <v>283.69110000000001</v>
      </c>
      <c r="W261" s="113">
        <f t="shared" si="63"/>
        <v>889938.98070000007</v>
      </c>
      <c r="X261" s="99" t="s">
        <v>452</v>
      </c>
      <c r="AH261" s="121">
        <v>37</v>
      </c>
      <c r="AI261" s="121" t="s">
        <v>4730</v>
      </c>
      <c r="AJ261" s="79">
        <v>74657561</v>
      </c>
      <c r="AK261" s="121">
        <v>16</v>
      </c>
      <c r="AL261" s="121">
        <f t="shared" si="67"/>
        <v>238</v>
      </c>
      <c r="AM261" s="121">
        <f t="shared" si="69"/>
        <v>17768499518</v>
      </c>
      <c r="AN261" s="121" t="s">
        <v>4737</v>
      </c>
    </row>
    <row r="262" spans="17:45">
      <c r="Q262" s="99" t="s">
        <v>4652</v>
      </c>
      <c r="R262" s="95">
        <v>6550580</v>
      </c>
      <c r="T262" s="213" t="s">
        <v>4855</v>
      </c>
      <c r="U262" s="213">
        <v>101933</v>
      </c>
      <c r="V262" s="113">
        <v>294.30973999999998</v>
      </c>
      <c r="W262" s="113">
        <f t="shared" si="63"/>
        <v>29999874.727419998</v>
      </c>
      <c r="X262" s="99" t="s">
        <v>1085</v>
      </c>
      <c r="AH262" s="99">
        <v>38</v>
      </c>
      <c r="AI262" s="99" t="s">
        <v>4808</v>
      </c>
      <c r="AJ262" s="117">
        <v>665000</v>
      </c>
      <c r="AK262" s="99">
        <v>0</v>
      </c>
      <c r="AL262" s="99">
        <f t="shared" si="67"/>
        <v>222</v>
      </c>
      <c r="AM262" s="20">
        <f t="shared" si="69"/>
        <v>147630000</v>
      </c>
      <c r="AN262" s="99"/>
    </row>
    <row r="263" spans="17:45">
      <c r="Q263" s="99" t="s">
        <v>4654</v>
      </c>
      <c r="R263" s="95">
        <v>6650895</v>
      </c>
      <c r="T263" s="213" t="s">
        <v>4862</v>
      </c>
      <c r="U263" s="213">
        <v>3407</v>
      </c>
      <c r="V263" s="113">
        <v>293.43799999999999</v>
      </c>
      <c r="W263" s="113">
        <f t="shared" si="63"/>
        <v>999743.26599999995</v>
      </c>
      <c r="X263" s="99" t="s">
        <v>452</v>
      </c>
      <c r="AH263" s="149">
        <v>39</v>
      </c>
      <c r="AI263" s="149" t="s">
        <v>4808</v>
      </c>
      <c r="AJ263" s="188">
        <v>665000</v>
      </c>
      <c r="AK263" s="149">
        <v>4</v>
      </c>
      <c r="AL263" s="195">
        <f t="shared" si="67"/>
        <v>222</v>
      </c>
      <c r="AM263" s="195">
        <f t="shared" ref="AM263:AM264" si="70">AJ263*AL263</f>
        <v>147630000</v>
      </c>
      <c r="AN263" s="195"/>
    </row>
    <row r="264" spans="17:45">
      <c r="Q264" s="99" t="s">
        <v>4677</v>
      </c>
      <c r="R264" s="95">
        <v>2145814</v>
      </c>
      <c r="T264" s="213" t="s">
        <v>4863</v>
      </c>
      <c r="U264" s="213">
        <v>68796</v>
      </c>
      <c r="V264" s="113">
        <v>293.53250000000003</v>
      </c>
      <c r="W264" s="113">
        <f t="shared" si="63"/>
        <v>20193861.870000001</v>
      </c>
      <c r="X264" s="99" t="s">
        <v>751</v>
      </c>
      <c r="AH264" s="20">
        <v>40</v>
      </c>
      <c r="AI264" s="20" t="s">
        <v>4821</v>
      </c>
      <c r="AJ264" s="117">
        <v>2000000</v>
      </c>
      <c r="AK264" s="20">
        <v>1</v>
      </c>
      <c r="AL264" s="99">
        <f t="shared" si="67"/>
        <v>218</v>
      </c>
      <c r="AM264" s="20">
        <f t="shared" si="70"/>
        <v>436000000</v>
      </c>
      <c r="AN264" s="99"/>
    </row>
    <row r="265" spans="17:45">
      <c r="Q265" s="99" t="s">
        <v>4688</v>
      </c>
      <c r="R265" s="95">
        <v>4369730</v>
      </c>
      <c r="T265" s="213" t="s">
        <v>4863</v>
      </c>
      <c r="U265" s="213">
        <v>154791</v>
      </c>
      <c r="V265" s="113">
        <v>293.53250000000003</v>
      </c>
      <c r="W265" s="113">
        <f t="shared" si="63"/>
        <v>45436189.207500003</v>
      </c>
      <c r="X265" s="99" t="s">
        <v>452</v>
      </c>
      <c r="AH265" s="20">
        <v>41</v>
      </c>
      <c r="AI265" s="20" t="s">
        <v>4826</v>
      </c>
      <c r="AJ265" s="117">
        <v>-2060725</v>
      </c>
      <c r="AK265" s="20">
        <v>0</v>
      </c>
      <c r="AL265" s="99">
        <f t="shared" si="67"/>
        <v>217</v>
      </c>
      <c r="AM265" s="20">
        <f t="shared" ref="AM265:AM270" si="71">AJ265*AL265</f>
        <v>-447177325</v>
      </c>
      <c r="AN265" s="99" t="s">
        <v>4827</v>
      </c>
    </row>
    <row r="266" spans="17:45">
      <c r="Q266" s="99" t="s">
        <v>4690</v>
      </c>
      <c r="R266" s="95">
        <v>8739459</v>
      </c>
      <c r="S266" t="s">
        <v>25</v>
      </c>
      <c r="T266" s="213" t="s">
        <v>4863</v>
      </c>
      <c r="U266" s="213">
        <v>-11923</v>
      </c>
      <c r="V266" s="113">
        <v>293.53250000000003</v>
      </c>
      <c r="W266" s="113">
        <f t="shared" si="63"/>
        <v>-3499787.9975000005</v>
      </c>
      <c r="X266" s="99" t="s">
        <v>452</v>
      </c>
      <c r="AH266" s="149">
        <v>42</v>
      </c>
      <c r="AI266" s="149" t="s">
        <v>4826</v>
      </c>
      <c r="AJ266" s="188">
        <v>-433375</v>
      </c>
      <c r="AK266" s="149">
        <v>0</v>
      </c>
      <c r="AL266" s="149">
        <f t="shared" si="67"/>
        <v>217</v>
      </c>
      <c r="AM266" s="149">
        <f t="shared" si="71"/>
        <v>-94042375</v>
      </c>
      <c r="AN266" s="149" t="s">
        <v>4828</v>
      </c>
    </row>
    <row r="267" spans="17:45">
      <c r="Q267" s="99" t="s">
        <v>4699</v>
      </c>
      <c r="R267" s="95">
        <v>6667654</v>
      </c>
      <c r="T267" s="213" t="s">
        <v>4876</v>
      </c>
      <c r="U267" s="213">
        <v>8424</v>
      </c>
      <c r="V267" s="113">
        <v>299.15170000000001</v>
      </c>
      <c r="W267" s="113">
        <f t="shared" si="63"/>
        <v>2520053.9208</v>
      </c>
      <c r="X267" s="99" t="s">
        <v>452</v>
      </c>
      <c r="Y267" t="s">
        <v>25</v>
      </c>
      <c r="AH267" s="20">
        <v>43</v>
      </c>
      <c r="AI267" s="20" t="s">
        <v>4826</v>
      </c>
      <c r="AJ267" s="117">
        <v>28000000</v>
      </c>
      <c r="AK267" s="20">
        <v>1</v>
      </c>
      <c r="AL267" s="99">
        <f t="shared" si="67"/>
        <v>217</v>
      </c>
      <c r="AM267" s="20">
        <f t="shared" si="71"/>
        <v>6076000000</v>
      </c>
      <c r="AN267" s="99" t="s">
        <v>3889</v>
      </c>
      <c r="AS267" t="s">
        <v>25</v>
      </c>
    </row>
    <row r="268" spans="17:45">
      <c r="Q268" s="99" t="s">
        <v>4707</v>
      </c>
      <c r="R268" s="95">
        <v>8981245</v>
      </c>
      <c r="T268" s="213" t="s">
        <v>4911</v>
      </c>
      <c r="U268" s="213">
        <v>15943</v>
      </c>
      <c r="V268" s="113">
        <v>307.34415000000001</v>
      </c>
      <c r="W268" s="113">
        <f t="shared" si="63"/>
        <v>4899987.78345</v>
      </c>
      <c r="X268" s="99" t="s">
        <v>452</v>
      </c>
      <c r="AA268" t="s">
        <v>25</v>
      </c>
      <c r="AH268" s="20">
        <v>44</v>
      </c>
      <c r="AI268" s="20" t="s">
        <v>4835</v>
      </c>
      <c r="AJ268" s="117">
        <v>160000</v>
      </c>
      <c r="AK268" s="20">
        <v>0</v>
      </c>
      <c r="AL268" s="99">
        <f t="shared" si="67"/>
        <v>216</v>
      </c>
      <c r="AM268" s="20">
        <f t="shared" si="71"/>
        <v>34560000</v>
      </c>
      <c r="AN268" s="99"/>
    </row>
    <row r="269" spans="17:45">
      <c r="Q269" s="99" t="s">
        <v>4712</v>
      </c>
      <c r="R269" s="95">
        <v>9181756</v>
      </c>
      <c r="T269" s="213" t="s">
        <v>4932</v>
      </c>
      <c r="U269" s="213">
        <v>3741</v>
      </c>
      <c r="V269" s="113">
        <v>307.34415000000001</v>
      </c>
      <c r="W269" s="113">
        <f t="shared" si="63"/>
        <v>1149774.4651500001</v>
      </c>
      <c r="X269" s="99" t="s">
        <v>452</v>
      </c>
      <c r="AH269" s="149">
        <v>45</v>
      </c>
      <c r="AI269" s="149" t="s">
        <v>4835</v>
      </c>
      <c r="AJ269" s="188">
        <v>70000</v>
      </c>
      <c r="AK269" s="149">
        <v>9</v>
      </c>
      <c r="AL269" s="149">
        <f t="shared" si="67"/>
        <v>216</v>
      </c>
      <c r="AM269" s="149">
        <f t="shared" si="71"/>
        <v>15120000</v>
      </c>
      <c r="AN269" s="149"/>
    </row>
    <row r="270" spans="17:45">
      <c r="Q270" s="99" t="s">
        <v>4716</v>
      </c>
      <c r="R270" s="95">
        <v>11811208</v>
      </c>
      <c r="S270" t="s">
        <v>25</v>
      </c>
      <c r="T270" s="213" t="s">
        <v>4938</v>
      </c>
      <c r="U270" s="213">
        <v>-6207</v>
      </c>
      <c r="V270" s="113">
        <v>322.214</v>
      </c>
      <c r="W270" s="113">
        <f t="shared" si="63"/>
        <v>-1999982.298</v>
      </c>
      <c r="X270" s="99" t="s">
        <v>751</v>
      </c>
      <c r="AH270" s="20">
        <v>46</v>
      </c>
      <c r="AI270" s="20" t="s">
        <v>4842</v>
      </c>
      <c r="AJ270" s="117">
        <v>850000</v>
      </c>
      <c r="AK270" s="20">
        <v>0</v>
      </c>
      <c r="AL270" s="99">
        <f t="shared" si="67"/>
        <v>207</v>
      </c>
      <c r="AM270" s="20">
        <f t="shared" si="71"/>
        <v>175950000</v>
      </c>
      <c r="AN270" s="99"/>
    </row>
    <row r="271" spans="17:45">
      <c r="Q271" s="99" t="s">
        <v>4730</v>
      </c>
      <c r="R271" s="95">
        <v>41248054</v>
      </c>
      <c r="S271" t="s">
        <v>25</v>
      </c>
      <c r="T271" s="213" t="s">
        <v>4938</v>
      </c>
      <c r="U271" s="213">
        <v>6207</v>
      </c>
      <c r="V271" s="113">
        <v>322.214</v>
      </c>
      <c r="W271" s="113">
        <f t="shared" si="63"/>
        <v>1999982.298</v>
      </c>
      <c r="X271" s="99" t="s">
        <v>4437</v>
      </c>
      <c r="AH271" s="195">
        <v>47</v>
      </c>
      <c r="AI271" s="195" t="s">
        <v>4842</v>
      </c>
      <c r="AJ271" s="196">
        <v>20000</v>
      </c>
      <c r="AK271" s="195">
        <v>4</v>
      </c>
      <c r="AL271" s="195">
        <f t="shared" ref="AL271:AL279" si="72">AK271+AL272</f>
        <v>207</v>
      </c>
      <c r="AM271" s="195">
        <f t="shared" ref="AM271:AM279" si="73">AJ271*AL271</f>
        <v>4140000</v>
      </c>
      <c r="AN271" s="195"/>
      <c r="AR271" t="s">
        <v>25</v>
      </c>
    </row>
    <row r="272" spans="17:45">
      <c r="Q272" s="99" t="s">
        <v>4738</v>
      </c>
      <c r="R272" s="95">
        <v>37328780</v>
      </c>
      <c r="T272" s="213" t="s">
        <v>4883</v>
      </c>
      <c r="U272" s="213">
        <v>776</v>
      </c>
      <c r="V272" s="113">
        <v>322.214</v>
      </c>
      <c r="W272" s="113">
        <f t="shared" si="63"/>
        <v>250038.06400000001</v>
      </c>
      <c r="X272" s="99" t="s">
        <v>452</v>
      </c>
      <c r="AH272" s="195">
        <v>48</v>
      </c>
      <c r="AI272" s="195" t="s">
        <v>4855</v>
      </c>
      <c r="AJ272" s="196">
        <v>30000000</v>
      </c>
      <c r="AK272" s="195">
        <v>27</v>
      </c>
      <c r="AL272" s="195">
        <f t="shared" si="72"/>
        <v>203</v>
      </c>
      <c r="AM272" s="195">
        <f t="shared" si="73"/>
        <v>6090000000</v>
      </c>
      <c r="AN272" s="195" t="s">
        <v>4856</v>
      </c>
    </row>
    <row r="273" spans="17:40">
      <c r="Q273" s="99" t="s">
        <v>4826</v>
      </c>
      <c r="R273" s="95">
        <v>-2194100</v>
      </c>
      <c r="T273" s="213" t="s">
        <v>4964</v>
      </c>
      <c r="U273" s="213">
        <v>1524</v>
      </c>
      <c r="V273" s="113">
        <v>314.95999999999998</v>
      </c>
      <c r="W273" s="113">
        <f t="shared" si="63"/>
        <v>479999.04</v>
      </c>
      <c r="X273" s="99" t="s">
        <v>1085</v>
      </c>
      <c r="Y273" t="s">
        <v>25</v>
      </c>
      <c r="AH273" s="20">
        <v>49</v>
      </c>
      <c r="AI273" s="20" t="s">
        <v>4932</v>
      </c>
      <c r="AJ273" s="117">
        <v>1100000</v>
      </c>
      <c r="AK273" s="20">
        <v>1</v>
      </c>
      <c r="AL273" s="20">
        <f t="shared" si="72"/>
        <v>176</v>
      </c>
      <c r="AM273" s="20">
        <f t="shared" si="73"/>
        <v>193600000</v>
      </c>
      <c r="AN273" s="20"/>
    </row>
    <row r="274" spans="17:40">
      <c r="Q274" s="99" t="s">
        <v>4863</v>
      </c>
      <c r="R274" s="95">
        <v>20193916</v>
      </c>
      <c r="T274" s="213" t="s">
        <v>4973</v>
      </c>
      <c r="U274" s="213">
        <v>4435</v>
      </c>
      <c r="V274" s="113">
        <v>316.4375</v>
      </c>
      <c r="W274" s="113">
        <f t="shared" si="63"/>
        <v>1403400.3125</v>
      </c>
      <c r="X274" s="99" t="s">
        <v>452</v>
      </c>
      <c r="Y274" t="s">
        <v>25</v>
      </c>
      <c r="AH274" s="20">
        <v>50</v>
      </c>
      <c r="AI274" s="20" t="s">
        <v>4934</v>
      </c>
      <c r="AJ274" s="117">
        <v>450000</v>
      </c>
      <c r="AK274" s="20">
        <v>0</v>
      </c>
      <c r="AL274" s="20">
        <f t="shared" si="72"/>
        <v>175</v>
      </c>
      <c r="AM274" s="20">
        <f t="shared" si="73"/>
        <v>78750000</v>
      </c>
      <c r="AN274" s="20"/>
    </row>
    <row r="275" spans="17:40">
      <c r="Q275" s="99" t="s">
        <v>4938</v>
      </c>
      <c r="R275" s="95">
        <v>-2000000</v>
      </c>
      <c r="T275" s="213" t="s">
        <v>4978</v>
      </c>
      <c r="U275" s="213">
        <v>624</v>
      </c>
      <c r="V275" s="113">
        <v>320.5</v>
      </c>
      <c r="W275" s="113">
        <f t="shared" si="63"/>
        <v>199992</v>
      </c>
      <c r="X275" s="99" t="s">
        <v>452</v>
      </c>
      <c r="AH275" s="149">
        <v>51</v>
      </c>
      <c r="AI275" s="149" t="s">
        <v>4934</v>
      </c>
      <c r="AJ275" s="188">
        <v>550000</v>
      </c>
      <c r="AK275" s="149">
        <v>1</v>
      </c>
      <c r="AL275" s="149">
        <f t="shared" si="72"/>
        <v>175</v>
      </c>
      <c r="AM275" s="149">
        <f t="shared" si="73"/>
        <v>96250000</v>
      </c>
      <c r="AN275" s="149"/>
    </row>
    <row r="276" spans="17:40">
      <c r="Q276" s="99" t="s">
        <v>5017</v>
      </c>
      <c r="R276" s="95">
        <v>6800000</v>
      </c>
      <c r="S276" t="s">
        <v>25</v>
      </c>
      <c r="T276" s="213" t="s">
        <v>4984</v>
      </c>
      <c r="U276" s="213">
        <v>1086</v>
      </c>
      <c r="V276" s="113">
        <v>317.55</v>
      </c>
      <c r="W276" s="113">
        <f t="shared" si="63"/>
        <v>344859.3</v>
      </c>
      <c r="X276" s="99" t="s">
        <v>452</v>
      </c>
      <c r="AH276" s="149">
        <v>52</v>
      </c>
      <c r="AI276" s="149" t="s">
        <v>4936</v>
      </c>
      <c r="AJ276" s="188">
        <v>1000000</v>
      </c>
      <c r="AK276" s="149">
        <v>8</v>
      </c>
      <c r="AL276" s="149">
        <f t="shared" si="72"/>
        <v>174</v>
      </c>
      <c r="AM276" s="149">
        <f t="shared" si="73"/>
        <v>174000000</v>
      </c>
      <c r="AN276" s="149"/>
    </row>
    <row r="277" spans="17:40">
      <c r="Q277" s="99" t="s">
        <v>5031</v>
      </c>
      <c r="R277" s="95">
        <v>850000</v>
      </c>
      <c r="T277" s="213" t="s">
        <v>4989</v>
      </c>
      <c r="U277" s="213">
        <v>2820</v>
      </c>
      <c r="V277" s="113">
        <v>319.1096</v>
      </c>
      <c r="W277" s="113">
        <f t="shared" si="63"/>
        <v>899889.07200000004</v>
      </c>
      <c r="X277" s="99" t="s">
        <v>452</v>
      </c>
      <c r="AH277" s="20">
        <v>53</v>
      </c>
      <c r="AI277" s="20" t="s">
        <v>4946</v>
      </c>
      <c r="AJ277" s="117">
        <v>-2668880</v>
      </c>
      <c r="AK277" s="20">
        <v>0</v>
      </c>
      <c r="AL277" s="20">
        <f t="shared" si="72"/>
        <v>166</v>
      </c>
      <c r="AM277" s="20">
        <f t="shared" si="73"/>
        <v>-443034080</v>
      </c>
      <c r="AN277" s="20" t="s">
        <v>4948</v>
      </c>
    </row>
    <row r="278" spans="17:40">
      <c r="Q278" s="99" t="s">
        <v>5041</v>
      </c>
      <c r="R278" s="95">
        <v>2290500</v>
      </c>
      <c r="T278" s="213" t="s">
        <v>4993</v>
      </c>
      <c r="U278" s="213">
        <v>1145</v>
      </c>
      <c r="V278" s="113">
        <v>325.44</v>
      </c>
      <c r="W278" s="113">
        <f t="shared" si="63"/>
        <v>372628.8</v>
      </c>
      <c r="X278" s="99" t="s">
        <v>452</v>
      </c>
      <c r="AH278" s="149">
        <v>54</v>
      </c>
      <c r="AI278" s="149" t="s">
        <v>4946</v>
      </c>
      <c r="AJ278" s="188">
        <v>-1528620</v>
      </c>
      <c r="AK278" s="149">
        <v>0</v>
      </c>
      <c r="AL278" s="149">
        <f t="shared" si="72"/>
        <v>166</v>
      </c>
      <c r="AM278" s="149">
        <f t="shared" si="73"/>
        <v>-253750920</v>
      </c>
      <c r="AN278" s="149" t="s">
        <v>4948</v>
      </c>
    </row>
    <row r="279" spans="17:40">
      <c r="Q279" s="99" t="s">
        <v>5057</v>
      </c>
      <c r="R279" s="95">
        <v>400000</v>
      </c>
      <c r="S279" t="s">
        <v>25</v>
      </c>
      <c r="T279" s="213" t="s">
        <v>5004</v>
      </c>
      <c r="U279" s="213">
        <v>20153</v>
      </c>
      <c r="V279" s="113">
        <v>322</v>
      </c>
      <c r="W279" s="113">
        <f t="shared" si="63"/>
        <v>6489266</v>
      </c>
      <c r="X279" s="99" t="s">
        <v>452</v>
      </c>
      <c r="AH279" s="20">
        <v>55</v>
      </c>
      <c r="AI279" s="20" t="s">
        <v>4946</v>
      </c>
      <c r="AJ279" s="117">
        <v>50000000</v>
      </c>
      <c r="AK279" s="20">
        <v>4</v>
      </c>
      <c r="AL279" s="20">
        <f t="shared" si="72"/>
        <v>166</v>
      </c>
      <c r="AM279" s="20">
        <f t="shared" si="73"/>
        <v>8300000000</v>
      </c>
      <c r="AN279" s="20"/>
    </row>
    <row r="280" spans="17:40">
      <c r="Q280" s="99" t="s">
        <v>5064</v>
      </c>
      <c r="R280" s="95">
        <v>150000</v>
      </c>
      <c r="T280" s="213" t="s">
        <v>5017</v>
      </c>
      <c r="U280" s="213">
        <v>93720</v>
      </c>
      <c r="V280" s="113">
        <v>325.435</v>
      </c>
      <c r="W280" s="113">
        <f t="shared" si="63"/>
        <v>30499768.199999999</v>
      </c>
      <c r="X280" s="99" t="s">
        <v>1085</v>
      </c>
      <c r="AH280" s="20">
        <v>56</v>
      </c>
      <c r="AI280" s="20" t="s">
        <v>4952</v>
      </c>
      <c r="AJ280" s="117">
        <v>400000</v>
      </c>
      <c r="AK280" s="20">
        <v>4</v>
      </c>
      <c r="AL280" s="20">
        <f t="shared" ref="AL280:AL289" si="74">AK280+AL281</f>
        <v>162</v>
      </c>
      <c r="AM280" s="20">
        <f t="shared" ref="AM280:AM289" si="75">AJ280*AL280</f>
        <v>64800000</v>
      </c>
      <c r="AN280" s="20"/>
    </row>
    <row r="281" spans="17:40">
      <c r="Q281" s="99" t="s">
        <v>5100</v>
      </c>
      <c r="R281" s="95">
        <v>-144950</v>
      </c>
      <c r="T281" s="213" t="s">
        <v>5017</v>
      </c>
      <c r="U281" s="213">
        <v>20895</v>
      </c>
      <c r="V281" s="113">
        <v>325.435</v>
      </c>
      <c r="W281" s="113">
        <f t="shared" si="63"/>
        <v>6799964.3250000002</v>
      </c>
      <c r="X281" s="99" t="s">
        <v>751</v>
      </c>
      <c r="AH281" s="20">
        <v>57</v>
      </c>
      <c r="AI281" s="20" t="s">
        <v>4964</v>
      </c>
      <c r="AJ281" s="117">
        <v>2000000</v>
      </c>
      <c r="AK281" s="20">
        <v>3</v>
      </c>
      <c r="AL281" s="20">
        <f t="shared" si="74"/>
        <v>158</v>
      </c>
      <c r="AM281" s="20">
        <f t="shared" si="75"/>
        <v>316000000</v>
      </c>
      <c r="AN281" s="20"/>
    </row>
    <row r="282" spans="17:40">
      <c r="Q282" s="99" t="s">
        <v>5136</v>
      </c>
      <c r="R282" s="95">
        <v>320000</v>
      </c>
      <c r="T282" s="213" t="s">
        <v>5031</v>
      </c>
      <c r="U282" s="213">
        <v>2611</v>
      </c>
      <c r="V282" s="113">
        <v>325.435</v>
      </c>
      <c r="W282" s="113">
        <f t="shared" si="63"/>
        <v>849710.78500000003</v>
      </c>
      <c r="X282" s="99" t="s">
        <v>751</v>
      </c>
      <c r="AH282" s="20">
        <v>58</v>
      </c>
      <c r="AI282" s="20" t="s">
        <v>4967</v>
      </c>
      <c r="AJ282" s="117">
        <v>100000</v>
      </c>
      <c r="AK282" s="20">
        <v>4</v>
      </c>
      <c r="AL282" s="20">
        <f t="shared" si="74"/>
        <v>155</v>
      </c>
      <c r="AM282" s="20">
        <f t="shared" si="75"/>
        <v>15500000</v>
      </c>
      <c r="AN282" s="20" t="s">
        <v>3889</v>
      </c>
    </row>
    <row r="283" spans="17:40">
      <c r="Q283" s="99" t="s">
        <v>5141</v>
      </c>
      <c r="R283" s="95">
        <v>500000</v>
      </c>
      <c r="S283" t="s">
        <v>25</v>
      </c>
      <c r="T283" s="213" t="s">
        <v>5041</v>
      </c>
      <c r="U283" s="213">
        <v>6750</v>
      </c>
      <c r="V283" s="113">
        <v>339.3</v>
      </c>
      <c r="W283" s="113">
        <f t="shared" si="63"/>
        <v>2290275</v>
      </c>
      <c r="X283" s="99" t="s">
        <v>751</v>
      </c>
      <c r="AH283" s="20">
        <v>59</v>
      </c>
      <c r="AI283" s="20" t="s">
        <v>4978</v>
      </c>
      <c r="AJ283" s="117">
        <v>100000</v>
      </c>
      <c r="AK283" s="20">
        <v>7</v>
      </c>
      <c r="AL283" s="20">
        <f t="shared" si="74"/>
        <v>151</v>
      </c>
      <c r="AM283" s="20">
        <f t="shared" si="75"/>
        <v>15100000</v>
      </c>
      <c r="AN283" s="20"/>
    </row>
    <row r="284" spans="17:40">
      <c r="Q284" s="99" t="s">
        <v>5196</v>
      </c>
      <c r="R284" s="95">
        <v>400000</v>
      </c>
      <c r="S284" t="s">
        <v>25</v>
      </c>
      <c r="T284" s="213" t="s">
        <v>5057</v>
      </c>
      <c r="U284" s="213">
        <v>1850</v>
      </c>
      <c r="V284" s="113">
        <v>334.10050000000001</v>
      </c>
      <c r="W284" s="113">
        <f t="shared" si="63"/>
        <v>618085.92500000005</v>
      </c>
      <c r="X284" s="99" t="s">
        <v>452</v>
      </c>
      <c r="AH284" s="20">
        <v>60</v>
      </c>
      <c r="AI284" s="20" t="s">
        <v>4993</v>
      </c>
      <c r="AJ284" s="117">
        <v>50000</v>
      </c>
      <c r="AK284" s="20">
        <v>0</v>
      </c>
      <c r="AL284" s="20">
        <f t="shared" si="74"/>
        <v>144</v>
      </c>
      <c r="AM284" s="20">
        <f t="shared" si="75"/>
        <v>7200000</v>
      </c>
      <c r="AN284" s="20"/>
    </row>
    <row r="285" spans="17:40">
      <c r="Q285" s="99" t="s">
        <v>5201</v>
      </c>
      <c r="R285" s="95">
        <v>50000</v>
      </c>
      <c r="S285" t="s">
        <v>25</v>
      </c>
      <c r="T285" s="213" t="s">
        <v>5057</v>
      </c>
      <c r="U285" s="213">
        <v>-1194</v>
      </c>
      <c r="V285" s="113">
        <v>335</v>
      </c>
      <c r="W285" s="113">
        <f t="shared" si="63"/>
        <v>-399990</v>
      </c>
      <c r="X285" s="99" t="s">
        <v>4437</v>
      </c>
      <c r="AH285" s="149">
        <v>61</v>
      </c>
      <c r="AI285" s="149" t="s">
        <v>4993</v>
      </c>
      <c r="AJ285" s="188">
        <v>50000</v>
      </c>
      <c r="AK285" s="149">
        <v>3</v>
      </c>
      <c r="AL285" s="149">
        <f t="shared" si="74"/>
        <v>144</v>
      </c>
      <c r="AM285" s="149">
        <f t="shared" si="75"/>
        <v>7200000</v>
      </c>
      <c r="AN285" s="149"/>
    </row>
    <row r="286" spans="17:40">
      <c r="Q286" s="99" t="s">
        <v>5212</v>
      </c>
      <c r="R286" s="95">
        <v>300000</v>
      </c>
      <c r="T286" s="213" t="s">
        <v>5057</v>
      </c>
      <c r="U286" s="213">
        <v>1194</v>
      </c>
      <c r="V286" s="113">
        <v>335</v>
      </c>
      <c r="W286" s="113">
        <f t="shared" si="63"/>
        <v>399990</v>
      </c>
      <c r="X286" s="99" t="s">
        <v>751</v>
      </c>
      <c r="AH286" s="20">
        <v>62</v>
      </c>
      <c r="AI286" s="20" t="s">
        <v>4998</v>
      </c>
      <c r="AJ286" s="117">
        <v>50000</v>
      </c>
      <c r="AK286" s="20">
        <v>0</v>
      </c>
      <c r="AL286" s="20">
        <f t="shared" si="74"/>
        <v>141</v>
      </c>
      <c r="AM286" s="20">
        <f t="shared" si="75"/>
        <v>7050000</v>
      </c>
      <c r="AN286" s="20"/>
    </row>
    <row r="287" spans="17:40">
      <c r="Q287" s="99" t="s">
        <v>5248</v>
      </c>
      <c r="R287" s="95">
        <v>250000</v>
      </c>
      <c r="T287" s="213" t="s">
        <v>5064</v>
      </c>
      <c r="U287" s="213">
        <v>433</v>
      </c>
      <c r="V287" s="113">
        <v>345.68</v>
      </c>
      <c r="W287" s="113">
        <f t="shared" si="63"/>
        <v>149679.44</v>
      </c>
      <c r="X287" s="99" t="s">
        <v>751</v>
      </c>
      <c r="AH287" s="195">
        <v>63</v>
      </c>
      <c r="AI287" s="195" t="s">
        <v>4998</v>
      </c>
      <c r="AJ287" s="196">
        <v>50000</v>
      </c>
      <c r="AK287" s="195">
        <v>2</v>
      </c>
      <c r="AL287" s="195">
        <f t="shared" si="74"/>
        <v>141</v>
      </c>
      <c r="AM287" s="195">
        <f t="shared" si="75"/>
        <v>7050000</v>
      </c>
      <c r="AN287" s="195"/>
    </row>
    <row r="288" spans="17:40">
      <c r="Q288" s="99" t="s">
        <v>5292</v>
      </c>
      <c r="R288" s="95">
        <v>200000</v>
      </c>
      <c r="T288" s="213" t="s">
        <v>5071</v>
      </c>
      <c r="U288" s="213">
        <v>55459</v>
      </c>
      <c r="V288" s="113">
        <v>362.51978000000003</v>
      </c>
      <c r="W288" s="113">
        <f t="shared" si="63"/>
        <v>20104984.479020003</v>
      </c>
      <c r="X288" s="99" t="s">
        <v>452</v>
      </c>
      <c r="AH288" s="20">
        <v>64</v>
      </c>
      <c r="AI288" s="20" t="s">
        <v>5007</v>
      </c>
      <c r="AJ288" s="117">
        <v>25000</v>
      </c>
      <c r="AK288" s="20">
        <v>0</v>
      </c>
      <c r="AL288" s="20">
        <f t="shared" si="74"/>
        <v>139</v>
      </c>
      <c r="AM288" s="20">
        <f t="shared" si="75"/>
        <v>3475000</v>
      </c>
      <c r="AN288" s="20"/>
    </row>
    <row r="289" spans="16:44">
      <c r="Q289" s="99"/>
      <c r="R289" s="95"/>
      <c r="T289" s="213" t="s">
        <v>5076</v>
      </c>
      <c r="U289" s="213">
        <v>-57212</v>
      </c>
      <c r="V289" s="113">
        <v>368.45400000000001</v>
      </c>
      <c r="W289" s="113">
        <f t="shared" si="63"/>
        <v>-21079990.248</v>
      </c>
      <c r="X289" s="99" t="s">
        <v>452</v>
      </c>
      <c r="AH289" s="149">
        <v>65</v>
      </c>
      <c r="AI289" s="149" t="s">
        <v>5007</v>
      </c>
      <c r="AJ289" s="188">
        <v>35000</v>
      </c>
      <c r="AK289" s="149">
        <v>7</v>
      </c>
      <c r="AL289" s="149">
        <f t="shared" si="74"/>
        <v>139</v>
      </c>
      <c r="AM289" s="149">
        <f t="shared" si="75"/>
        <v>4865000</v>
      </c>
      <c r="AN289" s="149"/>
    </row>
    <row r="290" spans="16:44">
      <c r="Q290" s="99"/>
      <c r="R290" s="95"/>
      <c r="S290" t="s">
        <v>25</v>
      </c>
      <c r="T290" s="213" t="s">
        <v>5077</v>
      </c>
      <c r="U290" s="213">
        <v>-15881</v>
      </c>
      <c r="V290" s="113">
        <v>374.61599999999999</v>
      </c>
      <c r="W290" s="113">
        <f t="shared" si="63"/>
        <v>-5949276.6959999995</v>
      </c>
      <c r="X290" s="99" t="s">
        <v>452</v>
      </c>
      <c r="AH290" s="149">
        <v>66</v>
      </c>
      <c r="AI290" s="149" t="s">
        <v>5017</v>
      </c>
      <c r="AJ290" s="188">
        <v>30000000</v>
      </c>
      <c r="AK290" s="149">
        <v>0</v>
      </c>
      <c r="AL290" s="149">
        <f t="shared" ref="AL290:AL309" si="76">AK290+AL291</f>
        <v>132</v>
      </c>
      <c r="AM290" s="149">
        <f t="shared" ref="AM290:AM309" si="77">AJ290*AL290</f>
        <v>3960000000</v>
      </c>
      <c r="AN290" s="149"/>
    </row>
    <row r="291" spans="16:44">
      <c r="Q291" s="99"/>
      <c r="R291" s="95">
        <f>SUM(R253:R290)</f>
        <v>436601825</v>
      </c>
      <c r="T291" s="213" t="s">
        <v>5084</v>
      </c>
      <c r="U291" s="213">
        <v>-41289</v>
      </c>
      <c r="V291" s="113">
        <v>372.27</v>
      </c>
      <c r="W291" s="113">
        <f t="shared" si="63"/>
        <v>-15370656.029999999</v>
      </c>
      <c r="X291" s="99" t="s">
        <v>452</v>
      </c>
      <c r="AH291" s="20">
        <v>67</v>
      </c>
      <c r="AI291" s="20" t="s">
        <v>5017</v>
      </c>
      <c r="AJ291" s="117">
        <v>6800000</v>
      </c>
      <c r="AK291" s="20">
        <v>1</v>
      </c>
      <c r="AL291" s="20">
        <f t="shared" si="76"/>
        <v>132</v>
      </c>
      <c r="AM291" s="20">
        <f t="shared" si="77"/>
        <v>897600000</v>
      </c>
      <c r="AN291" s="20"/>
    </row>
    <row r="292" spans="16:44">
      <c r="Q292" s="99"/>
      <c r="R292" s="99" t="s">
        <v>6</v>
      </c>
      <c r="S292" t="s">
        <v>25</v>
      </c>
      <c r="T292" s="213" t="s">
        <v>5091</v>
      </c>
      <c r="U292" s="213">
        <v>13563</v>
      </c>
      <c r="V292" s="113">
        <v>365.69799999999998</v>
      </c>
      <c r="W292" s="113">
        <f t="shared" si="63"/>
        <v>4959961.9739999995</v>
      </c>
      <c r="X292" s="99" t="s">
        <v>452</v>
      </c>
      <c r="AH292" s="20">
        <v>68</v>
      </c>
      <c r="AI292" s="20" t="s">
        <v>5023</v>
      </c>
      <c r="AJ292" s="117">
        <v>500000</v>
      </c>
      <c r="AK292" s="20">
        <v>1</v>
      </c>
      <c r="AL292" s="20">
        <f t="shared" si="76"/>
        <v>131</v>
      </c>
      <c r="AM292" s="20">
        <f t="shared" si="77"/>
        <v>65500000</v>
      </c>
      <c r="AN292" s="20"/>
    </row>
    <row r="293" spans="16:44">
      <c r="T293" s="213" t="s">
        <v>5091</v>
      </c>
      <c r="U293" s="213">
        <v>27344</v>
      </c>
      <c r="V293" s="113">
        <v>365.69799999999998</v>
      </c>
      <c r="W293" s="113">
        <f t="shared" si="63"/>
        <v>9999646.1119999997</v>
      </c>
      <c r="X293" s="99" t="s">
        <v>452</v>
      </c>
      <c r="AH293" s="20">
        <v>69</v>
      </c>
      <c r="AI293" s="20" t="s">
        <v>5031</v>
      </c>
      <c r="AJ293" s="117">
        <v>850000</v>
      </c>
      <c r="AK293" s="20">
        <v>5</v>
      </c>
      <c r="AL293" s="20">
        <f t="shared" si="76"/>
        <v>130</v>
      </c>
      <c r="AM293" s="20">
        <f t="shared" si="77"/>
        <v>110500000</v>
      </c>
      <c r="AN293" s="20"/>
    </row>
    <row r="294" spans="16:44" ht="30">
      <c r="T294" s="213" t="s">
        <v>5100</v>
      </c>
      <c r="U294" s="213">
        <v>-103145</v>
      </c>
      <c r="V294" s="113">
        <v>393.334</v>
      </c>
      <c r="W294" s="113">
        <f t="shared" si="63"/>
        <v>-40570435.43</v>
      </c>
      <c r="X294" s="36" t="s">
        <v>5112</v>
      </c>
      <c r="AH294" s="20">
        <v>70</v>
      </c>
      <c r="AI294" s="20" t="s">
        <v>5041</v>
      </c>
      <c r="AJ294" s="117">
        <v>1130250</v>
      </c>
      <c r="AK294" s="20">
        <v>0</v>
      </c>
      <c r="AL294" s="20">
        <f t="shared" si="76"/>
        <v>125</v>
      </c>
      <c r="AM294" s="20">
        <f t="shared" si="77"/>
        <v>141281250</v>
      </c>
      <c r="AN294" s="20"/>
    </row>
    <row r="295" spans="16:44">
      <c r="Q295" s="99" t="s">
        <v>452</v>
      </c>
      <c r="R295" s="99"/>
      <c r="T295" s="213" t="s">
        <v>5100</v>
      </c>
      <c r="U295" s="213">
        <v>-369</v>
      </c>
      <c r="V295" s="113">
        <v>393.334</v>
      </c>
      <c r="W295" s="113">
        <f t="shared" si="63"/>
        <v>-145140.24600000001</v>
      </c>
      <c r="X295" s="36" t="s">
        <v>5203</v>
      </c>
      <c r="AH295" s="260">
        <v>71</v>
      </c>
      <c r="AI295" s="260" t="s">
        <v>5041</v>
      </c>
      <c r="AJ295" s="251">
        <v>30000</v>
      </c>
      <c r="AK295" s="260">
        <v>5</v>
      </c>
      <c r="AL295" s="260">
        <f t="shared" si="76"/>
        <v>125</v>
      </c>
      <c r="AM295" s="260">
        <f t="shared" si="77"/>
        <v>3750000</v>
      </c>
      <c r="AN295" s="260"/>
    </row>
    <row r="296" spans="16:44">
      <c r="Q296" s="99" t="s">
        <v>4430</v>
      </c>
      <c r="R296" s="95">
        <v>63115000</v>
      </c>
      <c r="T296" s="213" t="s">
        <v>5100</v>
      </c>
      <c r="U296" s="213">
        <v>-889</v>
      </c>
      <c r="V296" s="113">
        <v>393.334</v>
      </c>
      <c r="W296" s="113">
        <f t="shared" si="63"/>
        <v>-349673.92599999998</v>
      </c>
      <c r="X296" s="36" t="s">
        <v>5204</v>
      </c>
      <c r="AH296" s="20">
        <v>72</v>
      </c>
      <c r="AI296" s="20" t="s">
        <v>5057</v>
      </c>
      <c r="AJ296" s="117">
        <v>206000</v>
      </c>
      <c r="AK296" s="20">
        <v>0</v>
      </c>
      <c r="AL296" s="20">
        <f t="shared" si="76"/>
        <v>120</v>
      </c>
      <c r="AM296" s="20">
        <f t="shared" si="77"/>
        <v>24720000</v>
      </c>
      <c r="AN296" s="20"/>
    </row>
    <row r="297" spans="16:44">
      <c r="Q297" s="99" t="s">
        <v>4483</v>
      </c>
      <c r="R297" s="95">
        <v>13300000</v>
      </c>
      <c r="S297" t="s">
        <v>25</v>
      </c>
      <c r="T297" s="213" t="s">
        <v>5116</v>
      </c>
      <c r="U297" s="213">
        <v>2546</v>
      </c>
      <c r="V297" s="113">
        <v>393</v>
      </c>
      <c r="W297" s="113">
        <f t="shared" si="63"/>
        <v>1000578</v>
      </c>
      <c r="X297" s="36" t="s">
        <v>452</v>
      </c>
      <c r="AH297" s="149">
        <v>73</v>
      </c>
      <c r="AI297" s="149" t="s">
        <v>5057</v>
      </c>
      <c r="AJ297" s="188">
        <v>206000</v>
      </c>
      <c r="AK297" s="149">
        <v>2</v>
      </c>
      <c r="AL297" s="149">
        <f t="shared" si="76"/>
        <v>120</v>
      </c>
      <c r="AM297" s="149">
        <f t="shared" si="77"/>
        <v>24720000</v>
      </c>
      <c r="AN297" s="149"/>
    </row>
    <row r="298" spans="16:44">
      <c r="Q298" s="99" t="s">
        <v>4491</v>
      </c>
      <c r="R298" s="95">
        <v>2269000</v>
      </c>
      <c r="T298" s="213" t="s">
        <v>5117</v>
      </c>
      <c r="U298" s="213">
        <v>1034</v>
      </c>
      <c r="V298" s="113">
        <v>386.608</v>
      </c>
      <c r="W298" s="113">
        <f t="shared" si="63"/>
        <v>399752.67200000002</v>
      </c>
      <c r="X298" s="36" t="s">
        <v>452</v>
      </c>
      <c r="AH298" s="20">
        <v>74</v>
      </c>
      <c r="AI298" s="20" t="s">
        <v>5064</v>
      </c>
      <c r="AJ298" s="117">
        <v>50000</v>
      </c>
      <c r="AK298" s="20">
        <v>0</v>
      </c>
      <c r="AL298" s="20">
        <f t="shared" si="76"/>
        <v>118</v>
      </c>
      <c r="AM298" s="20">
        <f t="shared" si="77"/>
        <v>5900000</v>
      </c>
      <c r="AN298" s="20"/>
    </row>
    <row r="299" spans="16:44">
      <c r="Q299" s="99" t="s">
        <v>4606</v>
      </c>
      <c r="R299" s="95">
        <v>25071612</v>
      </c>
      <c r="T299" s="213" t="s">
        <v>5124</v>
      </c>
      <c r="U299" s="213">
        <v>300</v>
      </c>
      <c r="V299" s="113">
        <v>400</v>
      </c>
      <c r="W299" s="113">
        <f t="shared" si="63"/>
        <v>120000</v>
      </c>
      <c r="X299" s="36" t="s">
        <v>452</v>
      </c>
      <c r="AH299" s="260">
        <v>75</v>
      </c>
      <c r="AI299" s="260" t="s">
        <v>5064</v>
      </c>
      <c r="AJ299" s="251">
        <v>50000</v>
      </c>
      <c r="AK299" s="260">
        <v>2</v>
      </c>
      <c r="AL299" s="260">
        <f t="shared" si="76"/>
        <v>118</v>
      </c>
      <c r="AM299" s="260">
        <f t="shared" si="77"/>
        <v>5900000</v>
      </c>
      <c r="AN299" s="260"/>
    </row>
    <row r="300" spans="16:44">
      <c r="Q300" s="99" t="s">
        <v>4615</v>
      </c>
      <c r="R300" s="95">
        <v>42236984</v>
      </c>
      <c r="T300" s="213" t="s">
        <v>5136</v>
      </c>
      <c r="U300" s="213">
        <v>782</v>
      </c>
      <c r="V300" s="113">
        <v>409</v>
      </c>
      <c r="W300" s="113">
        <f t="shared" si="63"/>
        <v>319838</v>
      </c>
      <c r="X300" s="36" t="s">
        <v>751</v>
      </c>
      <c r="AH300" s="20">
        <v>76</v>
      </c>
      <c r="AI300" s="20" t="s">
        <v>5071</v>
      </c>
      <c r="AJ300" s="117">
        <v>20000000</v>
      </c>
      <c r="AK300" s="20">
        <v>7</v>
      </c>
      <c r="AL300" s="20">
        <f t="shared" si="76"/>
        <v>116</v>
      </c>
      <c r="AM300" s="20">
        <f t="shared" si="77"/>
        <v>2320000000</v>
      </c>
      <c r="AN300" s="20" t="s">
        <v>5072</v>
      </c>
      <c r="AR300" t="s">
        <v>25</v>
      </c>
    </row>
    <row r="301" spans="16:44">
      <c r="P301" t="s">
        <v>25</v>
      </c>
      <c r="Q301" s="99" t="s">
        <v>4616</v>
      </c>
      <c r="R301" s="95">
        <v>19663646</v>
      </c>
      <c r="T301" s="213" t="s">
        <v>5141</v>
      </c>
      <c r="U301" s="213">
        <v>1220</v>
      </c>
      <c r="V301" s="113">
        <v>409.9</v>
      </c>
      <c r="W301" s="113">
        <f t="shared" si="63"/>
        <v>500078</v>
      </c>
      <c r="X301" s="36" t="s">
        <v>751</v>
      </c>
      <c r="AH301" s="20">
        <v>77</v>
      </c>
      <c r="AI301" s="20" t="s">
        <v>5084</v>
      </c>
      <c r="AJ301" s="117">
        <v>50000</v>
      </c>
      <c r="AK301" s="20">
        <v>0</v>
      </c>
      <c r="AL301" s="20">
        <f t="shared" si="76"/>
        <v>109</v>
      </c>
      <c r="AM301" s="20">
        <f t="shared" si="77"/>
        <v>5450000</v>
      </c>
      <c r="AN301" s="20"/>
    </row>
    <row r="302" spans="16:44">
      <c r="Q302" s="99" t="s">
        <v>4640</v>
      </c>
      <c r="R302" s="95">
        <v>4374525</v>
      </c>
      <c r="T302" s="213" t="s">
        <v>5144</v>
      </c>
      <c r="U302" s="213">
        <v>1285</v>
      </c>
      <c r="V302" s="113">
        <v>388.84</v>
      </c>
      <c r="W302" s="113">
        <f t="shared" si="63"/>
        <v>499659.39999999997</v>
      </c>
      <c r="X302" s="36" t="s">
        <v>452</v>
      </c>
      <c r="Y302" t="s">
        <v>25</v>
      </c>
      <c r="AH302" s="149">
        <v>78</v>
      </c>
      <c r="AI302" s="149" t="s">
        <v>5084</v>
      </c>
      <c r="AJ302" s="188">
        <v>50000</v>
      </c>
      <c r="AK302" s="149">
        <v>7</v>
      </c>
      <c r="AL302" s="149">
        <f t="shared" si="76"/>
        <v>109</v>
      </c>
      <c r="AM302" s="149">
        <f t="shared" si="77"/>
        <v>5450000</v>
      </c>
      <c r="AN302" s="149"/>
    </row>
    <row r="303" spans="16:44">
      <c r="Q303" s="99" t="s">
        <v>4652</v>
      </c>
      <c r="R303" s="95">
        <v>6550580</v>
      </c>
      <c r="T303" s="213" t="s">
        <v>5129</v>
      </c>
      <c r="U303" s="213">
        <v>1924</v>
      </c>
      <c r="V303" s="113">
        <v>386.69600000000003</v>
      </c>
      <c r="W303" s="113">
        <f t="shared" si="63"/>
        <v>744003.10400000005</v>
      </c>
      <c r="X303" s="36" t="s">
        <v>452</v>
      </c>
      <c r="Y303" t="s">
        <v>25</v>
      </c>
      <c r="AH303" s="20">
        <v>79</v>
      </c>
      <c r="AI303" s="20" t="s">
        <v>5091</v>
      </c>
      <c r="AJ303" s="117">
        <v>2480000</v>
      </c>
      <c r="AK303" s="20">
        <v>0</v>
      </c>
      <c r="AL303" s="20">
        <f t="shared" si="76"/>
        <v>102</v>
      </c>
      <c r="AM303" s="20">
        <f t="shared" si="77"/>
        <v>252960000</v>
      </c>
      <c r="AN303" s="20"/>
    </row>
    <row r="304" spans="16:44">
      <c r="Q304" s="99" t="s">
        <v>4654</v>
      </c>
      <c r="R304" s="95">
        <v>7054895</v>
      </c>
      <c r="T304" s="213" t="s">
        <v>5160</v>
      </c>
      <c r="U304" s="213">
        <v>165</v>
      </c>
      <c r="V304" s="113">
        <v>393.5</v>
      </c>
      <c r="W304" s="113">
        <f t="shared" si="63"/>
        <v>64927.5</v>
      </c>
      <c r="X304" s="36" t="s">
        <v>452</v>
      </c>
      <c r="AH304" s="149">
        <v>80</v>
      </c>
      <c r="AI304" s="149" t="s">
        <v>5091</v>
      </c>
      <c r="AJ304" s="188">
        <v>2480000</v>
      </c>
      <c r="AK304" s="149">
        <v>12</v>
      </c>
      <c r="AL304" s="149">
        <f t="shared" si="76"/>
        <v>102</v>
      </c>
      <c r="AM304" s="149">
        <f t="shared" si="77"/>
        <v>252960000</v>
      </c>
      <c r="AN304" s="149"/>
    </row>
    <row r="305" spans="17:40" ht="30">
      <c r="Q305" s="99" t="s">
        <v>4677</v>
      </c>
      <c r="R305" s="95">
        <v>2145814</v>
      </c>
      <c r="T305" s="213" t="s">
        <v>5168</v>
      </c>
      <c r="U305" s="213">
        <v>-34859</v>
      </c>
      <c r="V305" s="113">
        <v>403.1585</v>
      </c>
      <c r="W305" s="113">
        <f t="shared" si="63"/>
        <v>-14053702.1515</v>
      </c>
      <c r="X305" s="36" t="s">
        <v>5172</v>
      </c>
      <c r="AH305" s="20">
        <v>81</v>
      </c>
      <c r="AI305" s="20" t="s">
        <v>5100</v>
      </c>
      <c r="AJ305" s="117">
        <v>-24159500</v>
      </c>
      <c r="AK305" s="20">
        <v>4</v>
      </c>
      <c r="AL305" s="20">
        <f t="shared" si="76"/>
        <v>90</v>
      </c>
      <c r="AM305" s="20">
        <f t="shared" si="77"/>
        <v>-2174355000</v>
      </c>
      <c r="AN305" s="20" t="s">
        <v>5115</v>
      </c>
    </row>
    <row r="306" spans="17:40">
      <c r="Q306" s="99" t="s">
        <v>4688</v>
      </c>
      <c r="R306" s="95">
        <v>4369730</v>
      </c>
      <c r="T306" s="213" t="s">
        <v>5130</v>
      </c>
      <c r="U306" s="213">
        <v>8476</v>
      </c>
      <c r="V306" s="113">
        <v>419.49900000000002</v>
      </c>
      <c r="W306" s="113">
        <f t="shared" si="63"/>
        <v>3555673.5240000002</v>
      </c>
      <c r="X306" s="36" t="s">
        <v>5180</v>
      </c>
      <c r="AH306" s="20">
        <v>82</v>
      </c>
      <c r="AI306" s="20" t="s">
        <v>5117</v>
      </c>
      <c r="AJ306" s="117">
        <v>400000</v>
      </c>
      <c r="AK306" s="20">
        <v>3</v>
      </c>
      <c r="AL306" s="20">
        <f t="shared" si="76"/>
        <v>86</v>
      </c>
      <c r="AM306" s="20">
        <f t="shared" si="77"/>
        <v>34400000</v>
      </c>
      <c r="AN306" s="20"/>
    </row>
    <row r="307" spans="17:40">
      <c r="Q307" s="99" t="s">
        <v>4690</v>
      </c>
      <c r="R307" s="95">
        <v>8739459</v>
      </c>
      <c r="T307" s="213" t="s">
        <v>5196</v>
      </c>
      <c r="U307" s="213">
        <v>903</v>
      </c>
      <c r="V307" s="113">
        <v>442.77379999999999</v>
      </c>
      <c r="W307" s="113">
        <f t="shared" si="63"/>
        <v>399824.7414</v>
      </c>
      <c r="X307" s="36" t="s">
        <v>751</v>
      </c>
      <c r="AH307" s="149">
        <v>83</v>
      </c>
      <c r="AI307" s="149" t="s">
        <v>5124</v>
      </c>
      <c r="AJ307" s="188">
        <v>40000</v>
      </c>
      <c r="AK307" s="149">
        <v>0</v>
      </c>
      <c r="AL307" s="149">
        <f t="shared" si="76"/>
        <v>83</v>
      </c>
      <c r="AM307" s="149">
        <f t="shared" si="77"/>
        <v>3320000</v>
      </c>
      <c r="AN307" s="149"/>
    </row>
    <row r="308" spans="17:40">
      <c r="Q308" s="99" t="s">
        <v>4699</v>
      </c>
      <c r="R308" s="95">
        <v>6667654</v>
      </c>
      <c r="T308" s="213" t="s">
        <v>5201</v>
      </c>
      <c r="U308" s="213">
        <v>113</v>
      </c>
      <c r="V308" s="113">
        <v>442.48200000000003</v>
      </c>
      <c r="W308" s="113">
        <f t="shared" ref="W308:W335" si="78">U308*V308</f>
        <v>50000.466</v>
      </c>
      <c r="X308" s="36" t="s">
        <v>751</v>
      </c>
      <c r="AH308" s="20">
        <v>84</v>
      </c>
      <c r="AI308" s="20" t="s">
        <v>5124</v>
      </c>
      <c r="AJ308" s="117">
        <v>40000</v>
      </c>
      <c r="AK308" s="20">
        <v>5</v>
      </c>
      <c r="AL308" s="20">
        <f t="shared" si="76"/>
        <v>83</v>
      </c>
      <c r="AM308" s="20">
        <f t="shared" si="77"/>
        <v>3320000</v>
      </c>
      <c r="AN308" s="20"/>
    </row>
    <row r="309" spans="17:40">
      <c r="Q309" s="99" t="s">
        <v>3682</v>
      </c>
      <c r="R309" s="95">
        <v>8981245</v>
      </c>
      <c r="T309" s="213" t="s">
        <v>5212</v>
      </c>
      <c r="U309" s="213">
        <v>671</v>
      </c>
      <c r="V309" s="113">
        <v>447</v>
      </c>
      <c r="W309" s="113">
        <f t="shared" si="78"/>
        <v>299937</v>
      </c>
      <c r="X309" s="36" t="s">
        <v>751</v>
      </c>
      <c r="AH309" s="20">
        <v>85</v>
      </c>
      <c r="AI309" s="20" t="s">
        <v>5136</v>
      </c>
      <c r="AJ309" s="117">
        <v>200000</v>
      </c>
      <c r="AK309" s="20">
        <v>1</v>
      </c>
      <c r="AL309" s="20">
        <f t="shared" si="76"/>
        <v>78</v>
      </c>
      <c r="AM309" s="20">
        <f t="shared" si="77"/>
        <v>15600000</v>
      </c>
      <c r="AN309" s="20"/>
    </row>
    <row r="310" spans="17:40">
      <c r="Q310" s="99" t="s">
        <v>4712</v>
      </c>
      <c r="R310" s="95">
        <v>9181756</v>
      </c>
      <c r="T310" s="213" t="s">
        <v>5214</v>
      </c>
      <c r="U310" s="213">
        <v>7</v>
      </c>
      <c r="V310" s="113">
        <v>465.31200000000001</v>
      </c>
      <c r="W310" s="113">
        <f t="shared" si="78"/>
        <v>3257.1840000000002</v>
      </c>
      <c r="X310" s="36" t="s">
        <v>452</v>
      </c>
      <c r="AH310" s="20">
        <v>86</v>
      </c>
      <c r="AI310" s="20" t="s">
        <v>5141</v>
      </c>
      <c r="AJ310" s="117">
        <v>500000</v>
      </c>
      <c r="AK310" s="20">
        <v>2</v>
      </c>
      <c r="AL310" s="20">
        <f t="shared" ref="AL310:AL348" si="79">AK310+AL311</f>
        <v>77</v>
      </c>
      <c r="AM310" s="20">
        <f t="shared" ref="AM310:AM348" si="80">AJ310*AL310</f>
        <v>38500000</v>
      </c>
      <c r="AN310" s="20"/>
    </row>
    <row r="311" spans="17:40">
      <c r="Q311" s="99" t="s">
        <v>4716</v>
      </c>
      <c r="R311" s="95">
        <v>11811208</v>
      </c>
      <c r="T311" s="213" t="s">
        <v>5223</v>
      </c>
      <c r="U311" s="213">
        <v>12950</v>
      </c>
      <c r="V311" s="113">
        <v>463.31599999999997</v>
      </c>
      <c r="W311" s="113">
        <f t="shared" si="78"/>
        <v>5999942.1999999993</v>
      </c>
      <c r="X311" s="36" t="s">
        <v>452</v>
      </c>
      <c r="AH311" s="20">
        <v>87</v>
      </c>
      <c r="AI311" s="20" t="s">
        <v>5144</v>
      </c>
      <c r="AJ311" s="117">
        <v>500000</v>
      </c>
      <c r="AK311" s="20">
        <v>3</v>
      </c>
      <c r="AL311" s="20">
        <f t="shared" si="79"/>
        <v>75</v>
      </c>
      <c r="AM311" s="20">
        <f t="shared" si="80"/>
        <v>37500000</v>
      </c>
      <c r="AN311" s="20"/>
    </row>
    <row r="312" spans="17:40">
      <c r="Q312" s="99" t="s">
        <v>4730</v>
      </c>
      <c r="R312" s="95">
        <v>41248054</v>
      </c>
      <c r="T312" s="213" t="s">
        <v>5229</v>
      </c>
      <c r="U312" s="213">
        <v>37</v>
      </c>
      <c r="V312" s="113">
        <v>463.315</v>
      </c>
      <c r="W312" s="113">
        <f t="shared" si="78"/>
        <v>17142.654999999999</v>
      </c>
      <c r="X312" s="36" t="s">
        <v>452</v>
      </c>
      <c r="AH312" s="20">
        <v>88</v>
      </c>
      <c r="AI312" s="20" t="s">
        <v>5129</v>
      </c>
      <c r="AJ312" s="117">
        <v>250000</v>
      </c>
      <c r="AK312" s="20">
        <v>0</v>
      </c>
      <c r="AL312" s="20">
        <f t="shared" si="79"/>
        <v>72</v>
      </c>
      <c r="AM312" s="20">
        <f t="shared" si="80"/>
        <v>18000000</v>
      </c>
      <c r="AN312" s="20"/>
    </row>
    <row r="313" spans="17:40">
      <c r="Q313" s="99" t="s">
        <v>4738</v>
      </c>
      <c r="R313" s="95">
        <v>37328780</v>
      </c>
      <c r="T313" s="213" t="s">
        <v>5230</v>
      </c>
      <c r="U313" s="213">
        <v>19</v>
      </c>
      <c r="V313" s="113">
        <v>434.3</v>
      </c>
      <c r="W313" s="113">
        <f t="shared" si="78"/>
        <v>8251.7000000000007</v>
      </c>
      <c r="X313" s="36" t="s">
        <v>452</v>
      </c>
      <c r="AH313" s="260">
        <v>89</v>
      </c>
      <c r="AI313" s="260" t="s">
        <v>5129</v>
      </c>
      <c r="AJ313" s="251">
        <v>245000</v>
      </c>
      <c r="AK313" s="260">
        <v>16</v>
      </c>
      <c r="AL313" s="260">
        <f t="shared" si="79"/>
        <v>72</v>
      </c>
      <c r="AM313" s="260">
        <f t="shared" si="80"/>
        <v>17640000</v>
      </c>
      <c r="AN313" s="260"/>
    </row>
    <row r="314" spans="17:40">
      <c r="Q314" s="99" t="s">
        <v>4745</v>
      </c>
      <c r="R314" s="95">
        <v>50000000</v>
      </c>
      <c r="T314" s="213" t="s">
        <v>5232</v>
      </c>
      <c r="U314" s="213">
        <v>16</v>
      </c>
      <c r="V314" s="113">
        <v>439</v>
      </c>
      <c r="W314" s="113">
        <f t="shared" si="78"/>
        <v>7024</v>
      </c>
      <c r="X314" s="36" t="s">
        <v>452</v>
      </c>
      <c r="AH314" s="20">
        <v>90</v>
      </c>
      <c r="AI314" s="20" t="s">
        <v>5173</v>
      </c>
      <c r="AJ314" s="117">
        <v>312598</v>
      </c>
      <c r="AK314" s="20">
        <v>0</v>
      </c>
      <c r="AL314" s="20">
        <f t="shared" si="79"/>
        <v>56</v>
      </c>
      <c r="AM314" s="20">
        <f t="shared" si="80"/>
        <v>17505488</v>
      </c>
      <c r="AN314" s="20"/>
    </row>
    <row r="315" spans="17:40" ht="45">
      <c r="Q315" s="99" t="s">
        <v>4808</v>
      </c>
      <c r="R315" s="95">
        <v>68656</v>
      </c>
      <c r="T315" s="213" t="s">
        <v>5232</v>
      </c>
      <c r="U315" s="213">
        <v>9191</v>
      </c>
      <c r="V315" s="113">
        <v>440.24630000000002</v>
      </c>
      <c r="W315" s="113">
        <f t="shared" si="78"/>
        <v>4046303.7433000002</v>
      </c>
      <c r="X315" s="36" t="s">
        <v>5235</v>
      </c>
      <c r="AH315" s="20">
        <v>91</v>
      </c>
      <c r="AI315" s="20" t="s">
        <v>5173</v>
      </c>
      <c r="AJ315" s="117">
        <v>780000</v>
      </c>
      <c r="AK315" s="20">
        <v>0</v>
      </c>
      <c r="AL315" s="20">
        <f t="shared" si="79"/>
        <v>56</v>
      </c>
      <c r="AM315" s="20">
        <f t="shared" si="80"/>
        <v>43680000</v>
      </c>
      <c r="AN315" s="20"/>
    </row>
    <row r="316" spans="17:40">
      <c r="Q316" s="99" t="s">
        <v>4821</v>
      </c>
      <c r="R316" s="95">
        <v>4000236</v>
      </c>
      <c r="T316" s="213" t="s">
        <v>5237</v>
      </c>
      <c r="U316" s="213">
        <v>-8792</v>
      </c>
      <c r="V316" s="113">
        <v>441.90665999999999</v>
      </c>
      <c r="W316" s="113">
        <f t="shared" si="78"/>
        <v>-3885243.3547199997</v>
      </c>
      <c r="X316" s="36" t="s">
        <v>5238</v>
      </c>
      <c r="AH316" s="195">
        <v>92</v>
      </c>
      <c r="AI316" s="195" t="s">
        <v>5173</v>
      </c>
      <c r="AJ316" s="196">
        <v>-300000</v>
      </c>
      <c r="AK316" s="195">
        <v>1</v>
      </c>
      <c r="AL316" s="195">
        <f t="shared" si="79"/>
        <v>56</v>
      </c>
      <c r="AM316" s="195">
        <f t="shared" si="80"/>
        <v>-16800000</v>
      </c>
      <c r="AN316" s="195"/>
    </row>
    <row r="317" spans="17:40">
      <c r="Q317" s="99" t="s">
        <v>4821</v>
      </c>
      <c r="R317" s="95">
        <v>2250000</v>
      </c>
      <c r="T317" s="213" t="s">
        <v>5242</v>
      </c>
      <c r="U317" s="213">
        <v>24374</v>
      </c>
      <c r="V317" s="113">
        <v>471.81700000000001</v>
      </c>
      <c r="W317" s="113">
        <f t="shared" si="78"/>
        <v>11500067.558</v>
      </c>
      <c r="X317" s="36" t="s">
        <v>5246</v>
      </c>
      <c r="AH317" s="20">
        <v>93</v>
      </c>
      <c r="AI317" s="20" t="s">
        <v>5130</v>
      </c>
      <c r="AJ317" s="117">
        <v>300000</v>
      </c>
      <c r="AK317" s="20">
        <v>0</v>
      </c>
      <c r="AL317" s="20">
        <f t="shared" si="79"/>
        <v>55</v>
      </c>
      <c r="AM317" s="20">
        <f t="shared" si="80"/>
        <v>16500000</v>
      </c>
      <c r="AN317" s="20"/>
    </row>
    <row r="318" spans="17:40">
      <c r="Q318" s="99" t="s">
        <v>4826</v>
      </c>
      <c r="R318" s="95">
        <v>-2512200</v>
      </c>
      <c r="T318" s="213" t="s">
        <v>5248</v>
      </c>
      <c r="U318" s="213">
        <v>530</v>
      </c>
      <c r="V318" s="113">
        <v>472</v>
      </c>
      <c r="W318" s="113">
        <f t="shared" si="78"/>
        <v>250160</v>
      </c>
      <c r="X318" s="36" t="s">
        <v>751</v>
      </c>
      <c r="Y318" t="s">
        <v>25</v>
      </c>
      <c r="AH318" s="20">
        <v>94</v>
      </c>
      <c r="AI318" s="20" t="s">
        <v>5130</v>
      </c>
      <c r="AJ318" s="117">
        <v>8660000</v>
      </c>
      <c r="AK318" s="20">
        <v>8</v>
      </c>
      <c r="AL318" s="20">
        <f t="shared" si="79"/>
        <v>55</v>
      </c>
      <c r="AM318" s="20">
        <f t="shared" si="80"/>
        <v>476300000</v>
      </c>
      <c r="AN318" s="20"/>
    </row>
    <row r="319" spans="17:40" ht="30">
      <c r="Q319" s="99" t="s">
        <v>4835</v>
      </c>
      <c r="R319" s="95">
        <v>300000</v>
      </c>
      <c r="T319" s="213" t="s">
        <v>5248</v>
      </c>
      <c r="U319" s="213">
        <v>12</v>
      </c>
      <c r="V319" s="113">
        <v>481.86</v>
      </c>
      <c r="W319" s="113">
        <f t="shared" si="78"/>
        <v>5782.32</v>
      </c>
      <c r="X319" s="36" t="s">
        <v>5253</v>
      </c>
      <c r="AH319" s="149">
        <v>95</v>
      </c>
      <c r="AI319" s="149" t="s">
        <v>5196</v>
      </c>
      <c r="AJ319" s="188">
        <v>200000</v>
      </c>
      <c r="AK319" s="149">
        <v>3</v>
      </c>
      <c r="AL319" s="149">
        <f t="shared" si="79"/>
        <v>47</v>
      </c>
      <c r="AM319" s="149">
        <f t="shared" si="80"/>
        <v>9400000</v>
      </c>
      <c r="AN319" s="149"/>
    </row>
    <row r="320" spans="17:40">
      <c r="Q320" s="99" t="s">
        <v>980</v>
      </c>
      <c r="R320" s="95">
        <v>1100000</v>
      </c>
      <c r="T320" s="213" t="s">
        <v>5276</v>
      </c>
      <c r="U320" s="213">
        <v>12330</v>
      </c>
      <c r="V320" s="113">
        <v>486.63443869999998</v>
      </c>
      <c r="W320" s="113">
        <f t="shared" si="78"/>
        <v>6000202.6291709999</v>
      </c>
      <c r="X320" s="36" t="s">
        <v>5246</v>
      </c>
      <c r="AH320" s="149">
        <v>96</v>
      </c>
      <c r="AI320" s="149" t="s">
        <v>5201</v>
      </c>
      <c r="AJ320" s="188">
        <v>20000</v>
      </c>
      <c r="AK320" s="149">
        <v>1</v>
      </c>
      <c r="AL320" s="149">
        <f t="shared" si="79"/>
        <v>44</v>
      </c>
      <c r="AM320" s="149">
        <f t="shared" si="80"/>
        <v>880000</v>
      </c>
      <c r="AN320" s="149"/>
    </row>
    <row r="321" spans="17:44">
      <c r="Q321" s="99" t="s">
        <v>4842</v>
      </c>
      <c r="R321" s="95">
        <v>890000</v>
      </c>
      <c r="T321" s="213" t="s">
        <v>5281</v>
      </c>
      <c r="U321" s="213">
        <v>846</v>
      </c>
      <c r="V321" s="113">
        <v>472.7</v>
      </c>
      <c r="W321" s="113">
        <f t="shared" si="78"/>
        <v>399904.2</v>
      </c>
      <c r="X321" s="36" t="s">
        <v>452</v>
      </c>
      <c r="AH321" s="20">
        <v>97</v>
      </c>
      <c r="AI321" s="20" t="s">
        <v>5212</v>
      </c>
      <c r="AJ321" s="117">
        <v>14340000</v>
      </c>
      <c r="AK321" s="20">
        <v>7</v>
      </c>
      <c r="AL321" s="20">
        <f t="shared" si="79"/>
        <v>43</v>
      </c>
      <c r="AM321" s="20">
        <f t="shared" si="80"/>
        <v>616620000</v>
      </c>
      <c r="AN321" s="20"/>
    </row>
    <row r="322" spans="17:44">
      <c r="Q322" s="99" t="s">
        <v>4862</v>
      </c>
      <c r="R322" s="95">
        <v>1000000</v>
      </c>
      <c r="T322" s="213" t="s">
        <v>5281</v>
      </c>
      <c r="U322" s="213">
        <v>3173</v>
      </c>
      <c r="V322" s="113">
        <v>472.7</v>
      </c>
      <c r="W322" s="113">
        <f t="shared" si="78"/>
        <v>1499877.0999999999</v>
      </c>
      <c r="X322" s="36" t="s">
        <v>1085</v>
      </c>
      <c r="AH322" s="20">
        <v>98</v>
      </c>
      <c r="AI322" s="20" t="s">
        <v>5223</v>
      </c>
      <c r="AJ322" s="117">
        <v>10000000</v>
      </c>
      <c r="AK322" s="20">
        <v>6</v>
      </c>
      <c r="AL322" s="20">
        <f t="shared" si="79"/>
        <v>36</v>
      </c>
      <c r="AM322" s="20">
        <f t="shared" si="80"/>
        <v>360000000</v>
      </c>
      <c r="AN322" s="20" t="s">
        <v>4747</v>
      </c>
    </row>
    <row r="323" spans="17:44">
      <c r="Q323" s="99" t="s">
        <v>4863</v>
      </c>
      <c r="R323" s="95">
        <v>45436311</v>
      </c>
      <c r="T323" s="213" t="s">
        <v>5287</v>
      </c>
      <c r="U323" s="213">
        <v>191</v>
      </c>
      <c r="V323" s="113">
        <v>484.572</v>
      </c>
      <c r="W323" s="113">
        <f t="shared" si="78"/>
        <v>92553.252000000008</v>
      </c>
      <c r="X323" s="36" t="s">
        <v>5288</v>
      </c>
      <c r="AH323" s="20">
        <v>99</v>
      </c>
      <c r="AI323" s="20" t="s">
        <v>5232</v>
      </c>
      <c r="AJ323" s="117">
        <v>4033949</v>
      </c>
      <c r="AK323" s="20">
        <v>2</v>
      </c>
      <c r="AL323" s="20">
        <f t="shared" si="79"/>
        <v>30</v>
      </c>
      <c r="AM323" s="20">
        <f t="shared" si="80"/>
        <v>121018470</v>
      </c>
      <c r="AN323" s="20" t="s">
        <v>5236</v>
      </c>
    </row>
    <row r="324" spans="17:44">
      <c r="Q324" s="99" t="s">
        <v>4863</v>
      </c>
      <c r="R324" s="95">
        <v>-3500000</v>
      </c>
      <c r="T324" s="213" t="s">
        <v>5287</v>
      </c>
      <c r="U324" s="213">
        <v>-206</v>
      </c>
      <c r="V324" s="113">
        <v>484.572</v>
      </c>
      <c r="W324" s="113">
        <f t="shared" si="78"/>
        <v>-99821.831999999995</v>
      </c>
      <c r="X324" s="36" t="s">
        <v>5290</v>
      </c>
      <c r="Y324" t="s">
        <v>25</v>
      </c>
      <c r="AH324" s="149">
        <v>100</v>
      </c>
      <c r="AI324" s="149" t="s">
        <v>5241</v>
      </c>
      <c r="AJ324" s="188">
        <v>11500000</v>
      </c>
      <c r="AK324" s="149">
        <v>2</v>
      </c>
      <c r="AL324" s="149">
        <f t="shared" si="79"/>
        <v>28</v>
      </c>
      <c r="AM324" s="149">
        <f t="shared" si="80"/>
        <v>322000000</v>
      </c>
      <c r="AN324" s="149" t="s">
        <v>5244</v>
      </c>
    </row>
    <row r="325" spans="17:44">
      <c r="Q325" s="99" t="s">
        <v>4876</v>
      </c>
      <c r="R325" s="95">
        <v>2520000</v>
      </c>
      <c r="T325" s="213" t="s">
        <v>5292</v>
      </c>
      <c r="U325" s="213">
        <v>20685</v>
      </c>
      <c r="V325" s="113">
        <v>483.43312200000003</v>
      </c>
      <c r="W325" s="113">
        <f t="shared" si="78"/>
        <v>9999814.1285699997</v>
      </c>
      <c r="X325" s="36" t="s">
        <v>5297</v>
      </c>
      <c r="AH325" s="149">
        <v>101</v>
      </c>
      <c r="AI325" s="149" t="s">
        <v>5248</v>
      </c>
      <c r="AJ325" s="188">
        <v>250000</v>
      </c>
      <c r="AK325" s="149">
        <v>3</v>
      </c>
      <c r="AL325" s="149">
        <f t="shared" si="79"/>
        <v>26</v>
      </c>
      <c r="AM325" s="149">
        <f t="shared" si="80"/>
        <v>6500000</v>
      </c>
      <c r="AN325" s="149"/>
    </row>
    <row r="326" spans="17:44">
      <c r="Q326" s="99" t="s">
        <v>4911</v>
      </c>
      <c r="R326" s="95">
        <v>4900000</v>
      </c>
      <c r="T326" s="213" t="s">
        <v>5292</v>
      </c>
      <c r="U326" s="213">
        <v>-413</v>
      </c>
      <c r="V326" s="113">
        <v>483.40199999999999</v>
      </c>
      <c r="W326" s="113">
        <f t="shared" si="78"/>
        <v>-199645.02599999998</v>
      </c>
      <c r="X326" s="36" t="s">
        <v>4437</v>
      </c>
      <c r="AH326" s="149">
        <v>102</v>
      </c>
      <c r="AI326" s="149" t="s">
        <v>5276</v>
      </c>
      <c r="AJ326" s="188">
        <v>6000000</v>
      </c>
      <c r="AK326" s="149">
        <v>1</v>
      </c>
      <c r="AL326" s="149">
        <f t="shared" si="79"/>
        <v>23</v>
      </c>
      <c r="AM326" s="149">
        <f t="shared" si="80"/>
        <v>138000000</v>
      </c>
      <c r="AN326" s="149" t="s">
        <v>5244</v>
      </c>
    </row>
    <row r="327" spans="17:44">
      <c r="Q327" s="99" t="s">
        <v>4932</v>
      </c>
      <c r="R327" s="95">
        <v>1150000</v>
      </c>
      <c r="T327" s="213" t="s">
        <v>5292</v>
      </c>
      <c r="U327" s="213">
        <v>413</v>
      </c>
      <c r="V327" s="113">
        <v>483.40199999999999</v>
      </c>
      <c r="W327" s="113">
        <f t="shared" si="78"/>
        <v>199645.02599999998</v>
      </c>
      <c r="X327" s="36" t="s">
        <v>751</v>
      </c>
      <c r="AH327" s="149">
        <v>103</v>
      </c>
      <c r="AI327" s="149" t="s">
        <v>5281</v>
      </c>
      <c r="AJ327" s="188">
        <v>1500000</v>
      </c>
      <c r="AK327" s="149">
        <v>6</v>
      </c>
      <c r="AL327" s="149">
        <f t="shared" si="79"/>
        <v>22</v>
      </c>
      <c r="AM327" s="149">
        <f t="shared" si="80"/>
        <v>33000000</v>
      </c>
      <c r="AN327" s="149" t="s">
        <v>5244</v>
      </c>
    </row>
    <row r="328" spans="17:44">
      <c r="Q328" s="99" t="s">
        <v>4883</v>
      </c>
      <c r="R328" s="95">
        <v>250000</v>
      </c>
      <c r="S328" s="114"/>
      <c r="T328" s="213" t="s">
        <v>5301</v>
      </c>
      <c r="U328" s="213">
        <v>-828</v>
      </c>
      <c r="V328" s="113">
        <v>483.43312200000003</v>
      </c>
      <c r="W328" s="113">
        <f t="shared" si="78"/>
        <v>-400282.62501600001</v>
      </c>
      <c r="X328" s="36" t="s">
        <v>452</v>
      </c>
      <c r="AH328" s="20">
        <v>104</v>
      </c>
      <c r="AI328" s="20" t="s">
        <v>974</v>
      </c>
      <c r="AJ328" s="117">
        <v>-3960043</v>
      </c>
      <c r="AK328" s="20">
        <v>2</v>
      </c>
      <c r="AL328" s="20">
        <f t="shared" si="79"/>
        <v>16</v>
      </c>
      <c r="AM328" s="20">
        <f t="shared" si="80"/>
        <v>-63360688</v>
      </c>
      <c r="AN328" s="20"/>
    </row>
    <row r="329" spans="17:44">
      <c r="Q329" s="99" t="s">
        <v>4973</v>
      </c>
      <c r="R329" s="95">
        <v>1403460</v>
      </c>
      <c r="T329" s="213" t="s">
        <v>5308</v>
      </c>
      <c r="U329" s="213">
        <v>12</v>
      </c>
      <c r="V329" s="113">
        <v>473.61898300000001</v>
      </c>
      <c r="W329" s="113">
        <f t="shared" si="78"/>
        <v>5683.4277959999999</v>
      </c>
      <c r="X329" s="36" t="s">
        <v>452</v>
      </c>
      <c r="AH329" s="20">
        <v>105</v>
      </c>
      <c r="AI329" s="20" t="s">
        <v>5313</v>
      </c>
      <c r="AJ329" s="117">
        <v>230000</v>
      </c>
      <c r="AK329" s="20">
        <v>0</v>
      </c>
      <c r="AL329" s="20">
        <f t="shared" si="79"/>
        <v>14</v>
      </c>
      <c r="AM329" s="20">
        <f t="shared" si="80"/>
        <v>3220000</v>
      </c>
      <c r="AN329" s="20"/>
    </row>
    <row r="330" spans="17:44">
      <c r="Q330" s="99" t="s">
        <v>4978</v>
      </c>
      <c r="R330" s="95">
        <v>200000</v>
      </c>
      <c r="T330" s="213" t="s">
        <v>5313</v>
      </c>
      <c r="U330" s="213">
        <v>963</v>
      </c>
      <c r="V330" s="113">
        <v>477.92200000000003</v>
      </c>
      <c r="W330" s="113">
        <f t="shared" si="78"/>
        <v>460238.886</v>
      </c>
      <c r="X330" s="36" t="s">
        <v>452</v>
      </c>
      <c r="AH330" s="149">
        <v>106</v>
      </c>
      <c r="AI330" s="149" t="s">
        <v>5313</v>
      </c>
      <c r="AJ330" s="188">
        <v>230000</v>
      </c>
      <c r="AK330" s="149">
        <v>1</v>
      </c>
      <c r="AL330" s="149">
        <f t="shared" ref="AL330:AL334" si="81">AK330+AL331</f>
        <v>14</v>
      </c>
      <c r="AM330" s="149">
        <f t="shared" ref="AM330:AM334" si="82">AJ330*AL330</f>
        <v>3220000</v>
      </c>
      <c r="AN330" s="149"/>
    </row>
    <row r="331" spans="17:44">
      <c r="Q331" s="99" t="s">
        <v>4984</v>
      </c>
      <c r="R331" s="95">
        <v>345000</v>
      </c>
      <c r="T331" s="213" t="s">
        <v>5314</v>
      </c>
      <c r="U331" s="213">
        <v>2815</v>
      </c>
      <c r="V331" s="113">
        <v>461.79</v>
      </c>
      <c r="W331" s="113">
        <f t="shared" si="78"/>
        <v>1299938.8500000001</v>
      </c>
      <c r="X331" s="36" t="s">
        <v>452</v>
      </c>
      <c r="AH331" s="149">
        <v>107</v>
      </c>
      <c r="AI331" s="149" t="s">
        <v>5314</v>
      </c>
      <c r="AJ331" s="188">
        <v>500000</v>
      </c>
      <c r="AK331" s="149">
        <v>1</v>
      </c>
      <c r="AL331" s="149">
        <f t="shared" si="81"/>
        <v>13</v>
      </c>
      <c r="AM331" s="149">
        <f t="shared" si="82"/>
        <v>6500000</v>
      </c>
      <c r="AN331" s="149"/>
    </row>
    <row r="332" spans="17:44">
      <c r="Q332" s="99" t="s">
        <v>4989</v>
      </c>
      <c r="R332" s="95">
        <v>900000</v>
      </c>
      <c r="T332" s="213" t="s">
        <v>5314</v>
      </c>
      <c r="U332" s="213">
        <v>1581</v>
      </c>
      <c r="V332" s="113">
        <v>461.79</v>
      </c>
      <c r="W332" s="113">
        <f t="shared" si="78"/>
        <v>730089.99</v>
      </c>
      <c r="X332" s="36" t="s">
        <v>452</v>
      </c>
      <c r="Z332" t="s">
        <v>25</v>
      </c>
      <c r="AH332" s="20">
        <v>108</v>
      </c>
      <c r="AI332" s="20" t="s">
        <v>5321</v>
      </c>
      <c r="AJ332" s="117">
        <v>-880000</v>
      </c>
      <c r="AK332" s="20">
        <v>4</v>
      </c>
      <c r="AL332" s="20">
        <f t="shared" si="81"/>
        <v>12</v>
      </c>
      <c r="AM332" s="20">
        <f t="shared" si="82"/>
        <v>-10560000</v>
      </c>
      <c r="AN332" s="20"/>
      <c r="AR332" t="s">
        <v>25</v>
      </c>
    </row>
    <row r="333" spans="17:44">
      <c r="Q333" s="99" t="s">
        <v>4993</v>
      </c>
      <c r="R333" s="95">
        <v>372517</v>
      </c>
      <c r="T333" s="213" t="s">
        <v>5328</v>
      </c>
      <c r="U333" s="213">
        <v>1916</v>
      </c>
      <c r="V333" s="113">
        <v>521.70000000000005</v>
      </c>
      <c r="W333" s="113">
        <f t="shared" si="78"/>
        <v>999577.20000000007</v>
      </c>
      <c r="X333" s="36" t="s">
        <v>1085</v>
      </c>
      <c r="AH333" s="195">
        <v>109</v>
      </c>
      <c r="AI333" s="195" t="s">
        <v>5328</v>
      </c>
      <c r="AJ333" s="196">
        <v>873000</v>
      </c>
      <c r="AK333" s="195">
        <v>0</v>
      </c>
      <c r="AL333" s="195">
        <f t="shared" si="81"/>
        <v>8</v>
      </c>
      <c r="AM333" s="195">
        <f t="shared" si="82"/>
        <v>6984000</v>
      </c>
      <c r="AN333" s="195" t="s">
        <v>5244</v>
      </c>
    </row>
    <row r="334" spans="17:44">
      <c r="Q334" s="99" t="s">
        <v>5004</v>
      </c>
      <c r="R334" s="95">
        <v>6489257</v>
      </c>
      <c r="T334" s="213" t="s">
        <v>991</v>
      </c>
      <c r="U334" s="213">
        <v>41</v>
      </c>
      <c r="V334" s="113">
        <v>514.48099999999999</v>
      </c>
      <c r="W334" s="113">
        <f t="shared" si="78"/>
        <v>21093.721000000001</v>
      </c>
      <c r="X334" s="36" t="s">
        <v>5288</v>
      </c>
      <c r="AH334" s="20">
        <v>110</v>
      </c>
      <c r="AI334" s="20" t="s">
        <v>5328</v>
      </c>
      <c r="AJ334" s="117">
        <v>127000</v>
      </c>
      <c r="AK334" s="20">
        <v>0</v>
      </c>
      <c r="AL334" s="20">
        <f t="shared" si="81"/>
        <v>8</v>
      </c>
      <c r="AM334" s="20">
        <f t="shared" si="82"/>
        <v>1016000</v>
      </c>
      <c r="AN334" s="20" t="s">
        <v>5244</v>
      </c>
    </row>
    <row r="335" spans="17:44">
      <c r="Q335" s="99" t="s">
        <v>5057</v>
      </c>
      <c r="R335" s="95">
        <v>618000</v>
      </c>
      <c r="T335" s="213" t="s">
        <v>4273</v>
      </c>
      <c r="U335" s="213">
        <v>71</v>
      </c>
      <c r="V335" s="113">
        <v>482.57</v>
      </c>
      <c r="W335" s="113">
        <f t="shared" si="78"/>
        <v>34262.47</v>
      </c>
      <c r="X335" s="36" t="s">
        <v>5288</v>
      </c>
      <c r="AH335" s="20">
        <v>111</v>
      </c>
      <c r="AI335" s="20" t="s">
        <v>5328</v>
      </c>
      <c r="AJ335" s="117">
        <v>73000</v>
      </c>
      <c r="AK335" s="20">
        <v>1</v>
      </c>
      <c r="AL335" s="20">
        <f t="shared" ref="AL335:AL347" si="83">AK335+AL336</f>
        <v>8</v>
      </c>
      <c r="AM335" s="20">
        <f t="shared" ref="AM335:AM347" si="84">AJ335*AL335</f>
        <v>584000</v>
      </c>
      <c r="AN335" s="20"/>
    </row>
    <row r="336" spans="17:44">
      <c r="Q336" s="99" t="s">
        <v>5071</v>
      </c>
      <c r="R336" s="95">
        <v>20105000</v>
      </c>
      <c r="T336" s="213"/>
      <c r="U336" s="213"/>
      <c r="V336" s="113"/>
      <c r="W336" s="113"/>
      <c r="X336" s="36"/>
      <c r="AH336" s="20">
        <v>112</v>
      </c>
      <c r="AI336" s="20" t="s">
        <v>991</v>
      </c>
      <c r="AJ336" s="117">
        <v>4300000</v>
      </c>
      <c r="AK336" s="20">
        <v>1</v>
      </c>
      <c r="AL336" s="20">
        <f t="shared" si="83"/>
        <v>7</v>
      </c>
      <c r="AM336" s="20">
        <f t="shared" si="84"/>
        <v>30100000</v>
      </c>
      <c r="AN336" s="20"/>
      <c r="AR336" t="s">
        <v>25</v>
      </c>
    </row>
    <row r="337" spans="17:46">
      <c r="Q337" s="99" t="s">
        <v>5076</v>
      </c>
      <c r="R337" s="95">
        <v>-21079990</v>
      </c>
      <c r="T337" s="168"/>
      <c r="U337" s="168"/>
      <c r="V337" s="113"/>
      <c r="W337" s="113"/>
      <c r="X337" s="99"/>
      <c r="AH337" s="20">
        <v>113</v>
      </c>
      <c r="AI337" s="20" t="s">
        <v>5148</v>
      </c>
      <c r="AJ337" s="117">
        <v>1600000</v>
      </c>
      <c r="AK337" s="20">
        <v>0</v>
      </c>
      <c r="AL337" s="20">
        <f t="shared" si="83"/>
        <v>6</v>
      </c>
      <c r="AM337" s="20">
        <f t="shared" si="84"/>
        <v>9600000</v>
      </c>
      <c r="AN337" s="20"/>
      <c r="AS337" t="s">
        <v>25</v>
      </c>
    </row>
    <row r="338" spans="17:46">
      <c r="Q338" s="99" t="s">
        <v>5077</v>
      </c>
      <c r="R338" s="95">
        <v>-5949277</v>
      </c>
      <c r="T338" s="168"/>
      <c r="U338" s="168">
        <f>SUM(U206:U337)</f>
        <v>3659791</v>
      </c>
      <c r="V338" s="99"/>
      <c r="W338" s="99"/>
      <c r="X338" s="99"/>
      <c r="AH338" s="20">
        <v>114</v>
      </c>
      <c r="AI338" s="20" t="s">
        <v>4273</v>
      </c>
      <c r="AJ338" s="117">
        <v>-10000000</v>
      </c>
      <c r="AK338" s="20">
        <v>1</v>
      </c>
      <c r="AL338" s="20">
        <f t="shared" si="83"/>
        <v>6</v>
      </c>
      <c r="AM338" s="20">
        <f t="shared" si="84"/>
        <v>-60000000</v>
      </c>
      <c r="AN338" s="20" t="s">
        <v>5346</v>
      </c>
      <c r="AR338" t="s">
        <v>25</v>
      </c>
      <c r="AT338" s="96" t="s">
        <v>25</v>
      </c>
    </row>
    <row r="339" spans="17:46">
      <c r="Q339" s="99" t="s">
        <v>5084</v>
      </c>
      <c r="R339" s="95">
        <v>-15370656</v>
      </c>
      <c r="T339" s="99"/>
      <c r="U339" s="99" t="s">
        <v>6</v>
      </c>
      <c r="V339" s="99"/>
      <c r="W339" s="99"/>
      <c r="X339" s="99"/>
      <c r="AH339" s="20">
        <v>115</v>
      </c>
      <c r="AI339" s="20" t="s">
        <v>5344</v>
      </c>
      <c r="AJ339" s="117">
        <v>571000</v>
      </c>
      <c r="AK339" s="20">
        <v>4</v>
      </c>
      <c r="AL339" s="20">
        <f t="shared" si="83"/>
        <v>5</v>
      </c>
      <c r="AM339" s="20">
        <f t="shared" si="84"/>
        <v>2855000</v>
      </c>
      <c r="AN339" s="20"/>
      <c r="AS339" t="s">
        <v>25</v>
      </c>
    </row>
    <row r="340" spans="17:46">
      <c r="Q340" s="99" t="s">
        <v>5091</v>
      </c>
      <c r="R340" s="95">
        <v>4960000</v>
      </c>
      <c r="T340" s="200" t="s">
        <v>4473</v>
      </c>
      <c r="AH340" s="20">
        <v>116</v>
      </c>
      <c r="AI340" s="20" t="s">
        <v>5350</v>
      </c>
      <c r="AJ340" s="117">
        <v>200000</v>
      </c>
      <c r="AK340" s="20">
        <v>1</v>
      </c>
      <c r="AL340" s="20">
        <f t="shared" si="83"/>
        <v>1</v>
      </c>
      <c r="AM340" s="20">
        <f t="shared" si="84"/>
        <v>200000</v>
      </c>
      <c r="AN340" s="20"/>
    </row>
    <row r="341" spans="17:46">
      <c r="Q341" s="99" t="s">
        <v>5091</v>
      </c>
      <c r="R341" s="95">
        <v>10000000</v>
      </c>
      <c r="T341" s="199">
        <f>R219/U338</f>
        <v>483.40537019736922</v>
      </c>
      <c r="AH341" s="20"/>
      <c r="AI341" s="20"/>
      <c r="AJ341" s="117"/>
      <c r="AK341" s="20"/>
      <c r="AL341" s="20">
        <f t="shared" si="83"/>
        <v>0</v>
      </c>
      <c r="AM341" s="20">
        <f t="shared" si="84"/>
        <v>0</v>
      </c>
      <c r="AN341" s="20"/>
    </row>
    <row r="342" spans="17:46">
      <c r="Q342" s="99" t="s">
        <v>5100</v>
      </c>
      <c r="R342" s="95">
        <v>-40570100</v>
      </c>
      <c r="W342" s="114"/>
      <c r="AH342" s="20"/>
      <c r="AI342" s="20"/>
      <c r="AJ342" s="117"/>
      <c r="AK342" s="20"/>
      <c r="AL342" s="20">
        <f t="shared" si="83"/>
        <v>0</v>
      </c>
      <c r="AM342" s="20">
        <f t="shared" si="84"/>
        <v>0</v>
      </c>
      <c r="AN342" s="20"/>
    </row>
    <row r="343" spans="17:46">
      <c r="Q343" s="99" t="s">
        <v>5116</v>
      </c>
      <c r="R343" s="95">
        <v>1000000</v>
      </c>
      <c r="U343" s="96" t="s">
        <v>267</v>
      </c>
      <c r="V343" t="s">
        <v>4474</v>
      </c>
      <c r="X343" t="s">
        <v>25</v>
      </c>
      <c r="AH343" s="20"/>
      <c r="AI343" s="20"/>
      <c r="AJ343" s="117"/>
      <c r="AK343" s="20"/>
      <c r="AL343" s="20">
        <f t="shared" si="83"/>
        <v>0</v>
      </c>
      <c r="AM343" s="20">
        <f t="shared" si="84"/>
        <v>0</v>
      </c>
      <c r="AN343" s="20"/>
    </row>
    <row r="344" spans="17:46">
      <c r="Q344" s="99" t="s">
        <v>5117</v>
      </c>
      <c r="R344" s="95">
        <v>400000</v>
      </c>
      <c r="T344" s="114"/>
      <c r="U344" s="113">
        <v>34550</v>
      </c>
      <c r="V344">
        <f>U344/T341</f>
        <v>71.472106290200301</v>
      </c>
      <c r="X344" t="s">
        <v>25</v>
      </c>
      <c r="AH344" s="20"/>
      <c r="AI344" s="20"/>
      <c r="AJ344" s="117"/>
      <c r="AK344" s="20"/>
      <c r="AL344" s="20">
        <f t="shared" si="83"/>
        <v>0</v>
      </c>
      <c r="AM344" s="20">
        <f t="shared" si="84"/>
        <v>0</v>
      </c>
      <c r="AN344" s="20"/>
    </row>
    <row r="345" spans="17:46">
      <c r="Q345" s="99" t="s">
        <v>5124</v>
      </c>
      <c r="R345" s="95">
        <v>120000</v>
      </c>
      <c r="X345" t="s">
        <v>25</v>
      </c>
      <c r="AH345" s="20"/>
      <c r="AI345" s="20"/>
      <c r="AJ345" s="117"/>
      <c r="AK345" s="20"/>
      <c r="AL345" s="20">
        <f t="shared" si="83"/>
        <v>0</v>
      </c>
      <c r="AM345" s="20">
        <f t="shared" si="84"/>
        <v>0</v>
      </c>
      <c r="AN345" s="20"/>
    </row>
    <row r="346" spans="17:46" ht="30">
      <c r="Q346" s="99" t="s">
        <v>5144</v>
      </c>
      <c r="R346" s="95">
        <v>500000</v>
      </c>
      <c r="V346" s="22" t="s">
        <v>5327</v>
      </c>
      <c r="W346" s="223"/>
      <c r="X346" s="96" t="s">
        <v>25</v>
      </c>
      <c r="AH346" s="20"/>
      <c r="AI346" s="20"/>
      <c r="AJ346" s="117"/>
      <c r="AK346" s="20"/>
      <c r="AL346" s="20">
        <f t="shared" si="83"/>
        <v>0</v>
      </c>
      <c r="AM346" s="20">
        <f t="shared" si="84"/>
        <v>0</v>
      </c>
      <c r="AN346" s="20"/>
    </row>
    <row r="347" spans="17:46">
      <c r="Q347" s="99" t="s">
        <v>5129</v>
      </c>
      <c r="R347" s="95">
        <v>744000</v>
      </c>
      <c r="W347" s="96" t="s">
        <v>25</v>
      </c>
      <c r="X347" t="s">
        <v>25</v>
      </c>
      <c r="AH347" s="99"/>
      <c r="AI347" s="99"/>
      <c r="AJ347" s="117"/>
      <c r="AK347" s="99"/>
      <c r="AL347" s="20">
        <f t="shared" si="83"/>
        <v>0</v>
      </c>
      <c r="AM347" s="20">
        <f t="shared" si="84"/>
        <v>0</v>
      </c>
      <c r="AN347" s="20"/>
    </row>
    <row r="348" spans="17:46">
      <c r="Q348" s="99" t="s">
        <v>5160</v>
      </c>
      <c r="R348" s="95">
        <v>65000</v>
      </c>
      <c r="X348" t="s">
        <v>25</v>
      </c>
      <c r="AH348" s="99"/>
      <c r="AI348" s="99"/>
      <c r="AJ348" s="117"/>
      <c r="AK348" s="99"/>
      <c r="AL348" s="20">
        <f t="shared" si="79"/>
        <v>0</v>
      </c>
      <c r="AM348" s="20">
        <f t="shared" si="80"/>
        <v>0</v>
      </c>
      <c r="AN348" s="99"/>
    </row>
    <row r="349" spans="17:46" ht="60">
      <c r="Q349" s="99" t="s">
        <v>5168</v>
      </c>
      <c r="R349" s="95">
        <v>-14053702</v>
      </c>
      <c r="T349" s="22" t="s">
        <v>4457</v>
      </c>
      <c r="V349" s="223"/>
      <c r="X349" t="s">
        <v>25</v>
      </c>
      <c r="AH349" s="99"/>
      <c r="AI349" s="99"/>
      <c r="AJ349" s="95">
        <f>SUM(AJ225:AJ348)</f>
        <v>452637852</v>
      </c>
      <c r="AK349" s="99"/>
      <c r="AL349" s="99"/>
      <c r="AM349" s="99">
        <f>SUM(AM225:AM348)</f>
        <v>92687162987</v>
      </c>
      <c r="AN349" s="95">
        <f>AM349*AN211/31</f>
        <v>49832804.693688042</v>
      </c>
    </row>
    <row r="350" spans="17:46" ht="45">
      <c r="Q350" s="99" t="s">
        <v>5130</v>
      </c>
      <c r="R350" s="95">
        <v>3555678</v>
      </c>
      <c r="T350" s="22" t="s">
        <v>4458</v>
      </c>
      <c r="AJ350" t="s">
        <v>4057</v>
      </c>
      <c r="AM350" t="s">
        <v>284</v>
      </c>
      <c r="AN350" t="s">
        <v>942</v>
      </c>
    </row>
    <row r="351" spans="17:46">
      <c r="Q351" s="99" t="s">
        <v>5214</v>
      </c>
      <c r="R351" s="95">
        <v>3495</v>
      </c>
    </row>
    <row r="352" spans="17:46">
      <c r="Q352" s="99" t="s">
        <v>5223</v>
      </c>
      <c r="R352" s="95">
        <v>6000000</v>
      </c>
      <c r="AI352" t="s">
        <v>4059</v>
      </c>
      <c r="AJ352" s="114">
        <f>AJ349+AN349</f>
        <v>502470656.69368804</v>
      </c>
    </row>
    <row r="353" spans="17:40">
      <c r="Q353" s="99" t="s">
        <v>5229</v>
      </c>
      <c r="R353" s="95">
        <v>17220</v>
      </c>
      <c r="T353" s="99" t="s">
        <v>4475</v>
      </c>
      <c r="U353" s="99" t="s">
        <v>4447</v>
      </c>
      <c r="V353" s="99" t="s">
        <v>952</v>
      </c>
      <c r="W353" s="74"/>
      <c r="AI353" t="s">
        <v>4062</v>
      </c>
      <c r="AJ353" s="114">
        <f>SUM(N20:N34)</f>
        <v>758876599.70000005</v>
      </c>
    </row>
    <row r="354" spans="17:40">
      <c r="Q354" s="99" t="s">
        <v>5230</v>
      </c>
      <c r="R354" s="95">
        <v>8249</v>
      </c>
      <c r="T354" s="95">
        <f>S246+R291+R371</f>
        <v>929867293</v>
      </c>
      <c r="U354" s="95">
        <f>R219</f>
        <v>1769162623.2</v>
      </c>
      <c r="V354" s="95">
        <f>U354-T354</f>
        <v>839295330.20000005</v>
      </c>
      <c r="AI354" t="s">
        <v>4134</v>
      </c>
      <c r="AJ354" s="114">
        <f>AJ353-AJ349</f>
        <v>306238747.70000005</v>
      </c>
    </row>
    <row r="355" spans="17:40">
      <c r="Q355" s="99" t="s">
        <v>5232</v>
      </c>
      <c r="R355" s="95">
        <v>6937</v>
      </c>
      <c r="S355" s="114"/>
      <c r="AI355" t="s">
        <v>942</v>
      </c>
      <c r="AJ355" s="114">
        <f>AN349</f>
        <v>49832804.693688042</v>
      </c>
    </row>
    <row r="356" spans="17:40">
      <c r="Q356" s="99" t="s">
        <v>5232</v>
      </c>
      <c r="R356" s="95">
        <v>4046552</v>
      </c>
      <c r="AI356" t="s">
        <v>4063</v>
      </c>
      <c r="AJ356" s="114">
        <f>AJ354-AJ355</f>
        <v>256405943.00631201</v>
      </c>
      <c r="AM356" t="s">
        <v>25</v>
      </c>
      <c r="AN356" t="s">
        <v>25</v>
      </c>
    </row>
    <row r="357" spans="17:40">
      <c r="Q357" s="99" t="s">
        <v>5237</v>
      </c>
      <c r="R357" s="95">
        <v>-3884943</v>
      </c>
      <c r="AN357" t="s">
        <v>25</v>
      </c>
    </row>
    <row r="358" spans="17:40">
      <c r="Q358" s="99" t="s">
        <v>5248</v>
      </c>
      <c r="R358" s="95">
        <v>6022</v>
      </c>
    </row>
    <row r="359" spans="17:40">
      <c r="Q359" s="99" t="s">
        <v>5281</v>
      </c>
      <c r="R359" s="95">
        <v>400000</v>
      </c>
      <c r="T359" t="s">
        <v>25</v>
      </c>
    </row>
    <row r="360" spans="17:40">
      <c r="Q360" s="99" t="s">
        <v>5287</v>
      </c>
      <c r="R360" s="95">
        <v>92847</v>
      </c>
      <c r="T360" t="s">
        <v>25</v>
      </c>
      <c r="AN360" t="s">
        <v>25</v>
      </c>
    </row>
    <row r="361" spans="17:40">
      <c r="Q361" s="99" t="s">
        <v>5287</v>
      </c>
      <c r="R361" s="95">
        <v>-100000</v>
      </c>
      <c r="AN361" t="s">
        <v>25</v>
      </c>
    </row>
    <row r="362" spans="17:40">
      <c r="Q362" s="99" t="s">
        <v>5292</v>
      </c>
      <c r="R362" s="95">
        <v>10000000</v>
      </c>
      <c r="T362" t="s">
        <v>25</v>
      </c>
    </row>
    <row r="363" spans="17:40">
      <c r="Q363" s="99" t="s">
        <v>5301</v>
      </c>
      <c r="R363" s="95">
        <v>-400000</v>
      </c>
      <c r="T363" t="s">
        <v>25</v>
      </c>
    </row>
    <row r="364" spans="17:40">
      <c r="Q364" s="99" t="s">
        <v>5310</v>
      </c>
      <c r="R364" s="95">
        <v>5649</v>
      </c>
    </row>
    <row r="365" spans="17:40">
      <c r="Q365" s="99" t="s">
        <v>5313</v>
      </c>
      <c r="R365" s="95">
        <v>460000</v>
      </c>
    </row>
    <row r="366" spans="17:40">
      <c r="Q366" s="99" t="s">
        <v>5314</v>
      </c>
      <c r="R366" s="95">
        <v>1300000</v>
      </c>
      <c r="T366" t="s">
        <v>25</v>
      </c>
    </row>
    <row r="367" spans="17:40">
      <c r="Q367" s="99" t="s">
        <v>5314</v>
      </c>
      <c r="R367" s="95">
        <v>7300000</v>
      </c>
      <c r="T367" t="s">
        <v>25</v>
      </c>
    </row>
    <row r="368" spans="17:40">
      <c r="Q368" s="99" t="s">
        <v>991</v>
      </c>
      <c r="R368" s="95">
        <v>21203</v>
      </c>
      <c r="W368" s="96" t="s">
        <v>25</v>
      </c>
    </row>
    <row r="369" spans="17:21">
      <c r="Q369" s="99" t="s">
        <v>4273</v>
      </c>
      <c r="R369" s="95">
        <v>34550</v>
      </c>
      <c r="T369" t="s">
        <v>25</v>
      </c>
    </row>
    <row r="370" spans="17:21">
      <c r="Q370" s="99"/>
      <c r="R370" s="95"/>
      <c r="T370" t="s">
        <v>25</v>
      </c>
    </row>
    <row r="371" spans="17:21">
      <c r="Q371" s="99"/>
      <c r="R371" s="95">
        <f>SUM(R296:R370)</f>
        <v>402034913</v>
      </c>
      <c r="T371" t="s">
        <v>25</v>
      </c>
    </row>
    <row r="372" spans="17:21">
      <c r="Q372" s="99"/>
      <c r="R372" s="99" t="s">
        <v>6</v>
      </c>
      <c r="T372" t="s">
        <v>25</v>
      </c>
      <c r="U372" s="96" t="s">
        <v>25</v>
      </c>
    </row>
    <row r="373" spans="17:21">
      <c r="T373" t="s">
        <v>25</v>
      </c>
    </row>
    <row r="374" spans="17:21">
      <c r="T374" t="s">
        <v>25</v>
      </c>
    </row>
    <row r="375" spans="17:21">
      <c r="T375" t="s">
        <v>25</v>
      </c>
    </row>
    <row r="376" spans="17:21">
      <c r="T376" t="s">
        <v>25</v>
      </c>
    </row>
    <row r="378" spans="17:21">
      <c r="T378" t="s">
        <v>25</v>
      </c>
    </row>
    <row r="379" spans="17:21">
      <c r="T379" t="s">
        <v>25</v>
      </c>
    </row>
    <row r="380" spans="17:21">
      <c r="R380" t="s">
        <v>25</v>
      </c>
      <c r="S380" t="s">
        <v>25</v>
      </c>
    </row>
    <row r="381" spans="17:21">
      <c r="U38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8:G121 G123 G103:G110 G112 G130:G131 G135:G139 G141:G1048576">
    <cfRule type="cellIs" dxfId="9" priority="12" operator="lessThan">
      <formula>0</formula>
    </cfRule>
  </conditionalFormatting>
  <conditionalFormatting sqref="G113">
    <cfRule type="cellIs" dxfId="8" priority="3" operator="lessThan">
      <formula>0</formula>
    </cfRule>
  </conditionalFormatting>
  <conditionalFormatting sqref="G114 G116">
    <cfRule type="cellIs" dxfId="7" priority="4" operator="lessThan">
      <formula>0</formula>
    </cfRule>
  </conditionalFormatting>
  <conditionalFormatting sqref="G117">
    <cfRule type="cellIs" dxfId="6" priority="1" operator="lessThan">
      <formula>0</formula>
    </cfRule>
  </conditionalFormatting>
  <conditionalFormatting sqref="G111">
    <cfRule type="cellIs" dxfId="5" priority="5" operator="lessThan">
      <formula>0</formula>
    </cfRule>
  </conditionalFormatting>
  <conditionalFormatting sqref="G115">
    <cfRule type="cellIs" dxfId="4" priority="2" operator="lessThan">
      <formula>0</formula>
    </cfRule>
  </conditionalFormatting>
  <pageMargins left="0.7" right="0.7" top="0.75" bottom="0.75" header="0.3" footer="0.3"/>
  <pageSetup orientation="portrait" r:id="rId1"/>
  <ignoredErrors>
    <ignoredError sqref="N10" formulaRange="1"/>
    <ignoredError sqref="S22 S131 S32 G124 S138 S147 S88 S153 S155 P26 S46:S47 M110 S49 P30:P31 S63:S64 P25 P23 S68 S172 S17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I180" zoomScale="90" zoomScaleNormal="90" workbookViewId="0">
      <selection activeCell="M216" sqref="M21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4472</v>
      </c>
      <c r="M1" s="168" t="s">
        <v>936</v>
      </c>
      <c r="N1" s="56" t="s">
        <v>939</v>
      </c>
      <c r="O1" s="99" t="s">
        <v>8</v>
      </c>
      <c r="W1" s="168" t="s">
        <v>180</v>
      </c>
      <c r="X1" s="168" t="s">
        <v>4526</v>
      </c>
      <c r="Y1" s="168" t="s">
        <v>949</v>
      </c>
      <c r="Z1" s="168" t="s">
        <v>936</v>
      </c>
      <c r="AA1" s="168" t="s">
        <v>4526</v>
      </c>
      <c r="AB1" s="168" t="s">
        <v>949</v>
      </c>
      <c r="AC1" s="168" t="s">
        <v>936</v>
      </c>
      <c r="AD1" s="168" t="s">
        <v>4621</v>
      </c>
      <c r="AE1" s="168" t="s">
        <v>4622</v>
      </c>
      <c r="AF1" s="99" t="s">
        <v>8</v>
      </c>
    </row>
    <row r="2" spans="1:32">
      <c r="A2" s="99" t="s">
        <v>4235</v>
      </c>
      <c r="B2" s="203">
        <v>1707</v>
      </c>
      <c r="C2" s="204" t="s">
        <v>4595</v>
      </c>
      <c r="D2" s="99" t="s">
        <v>4487</v>
      </c>
      <c r="J2" s="168">
        <v>1</v>
      </c>
      <c r="K2" s="168" t="s">
        <v>4278</v>
      </c>
      <c r="L2" s="113">
        <v>4270000</v>
      </c>
      <c r="M2" s="168">
        <v>10</v>
      </c>
      <c r="N2" s="113">
        <f>L2*M2</f>
        <v>42700000</v>
      </c>
      <c r="O2" s="99" t="s">
        <v>751</v>
      </c>
      <c r="W2" s="168" t="s">
        <v>4517</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4569</v>
      </c>
      <c r="B3" s="203">
        <v>1184</v>
      </c>
      <c r="C3" s="204" t="s">
        <v>4575</v>
      </c>
      <c r="D3" s="99"/>
      <c r="J3" s="168">
        <v>2</v>
      </c>
      <c r="K3" s="168" t="s">
        <v>4483</v>
      </c>
      <c r="L3" s="113">
        <v>3845000</v>
      </c>
      <c r="M3" s="168">
        <v>4</v>
      </c>
      <c r="N3" s="113">
        <f>L3*M3</f>
        <v>15380000</v>
      </c>
      <c r="O3" s="99" t="s">
        <v>452</v>
      </c>
      <c r="W3" s="168" t="s">
        <v>4516</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4570</v>
      </c>
      <c r="B4" s="203">
        <v>1804</v>
      </c>
      <c r="C4" s="204" t="s">
        <v>4576</v>
      </c>
      <c r="D4" s="99"/>
      <c r="F4" t="s">
        <v>25</v>
      </c>
      <c r="J4" s="168">
        <v>3</v>
      </c>
      <c r="K4" s="168" t="s">
        <v>4223</v>
      </c>
      <c r="L4" s="113">
        <v>3390000</v>
      </c>
      <c r="M4" s="168">
        <v>2</v>
      </c>
      <c r="N4" s="113">
        <f>L4*M4</f>
        <v>6780000</v>
      </c>
      <c r="O4" s="99" t="s">
        <v>751</v>
      </c>
      <c r="W4" s="168" t="s">
        <v>4518</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4601</v>
      </c>
      <c r="L5" s="220">
        <v>0</v>
      </c>
      <c r="M5" s="219">
        <v>3</v>
      </c>
      <c r="N5" s="220">
        <f t="shared" ref="N5" si="3">L5*M5</f>
        <v>0</v>
      </c>
      <c r="O5" s="221" t="s">
        <v>4605</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4487</v>
      </c>
      <c r="F6" t="s">
        <v>25</v>
      </c>
      <c r="G6" s="96"/>
      <c r="H6" s="96"/>
      <c r="I6" s="96"/>
      <c r="J6" s="168">
        <v>5</v>
      </c>
      <c r="K6" s="168" t="s">
        <v>4606</v>
      </c>
      <c r="L6" s="113">
        <v>4183832</v>
      </c>
      <c r="M6" s="168">
        <v>6</v>
      </c>
      <c r="N6" s="113">
        <v>25071612</v>
      </c>
      <c r="O6" s="99" t="s">
        <v>452</v>
      </c>
      <c r="P6" s="96"/>
      <c r="Q6" s="96"/>
      <c r="R6" s="96"/>
      <c r="S6" s="96"/>
      <c r="W6" s="168" t="s">
        <v>4610</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4549</v>
      </c>
      <c r="B7" s="203">
        <v>1689</v>
      </c>
      <c r="C7" s="169"/>
      <c r="D7" s="99"/>
      <c r="F7" s="96">
        <v>0</v>
      </c>
      <c r="G7" s="96"/>
      <c r="H7" s="96"/>
      <c r="I7" s="96"/>
      <c r="J7" s="168">
        <v>6</v>
      </c>
      <c r="K7" s="168" t="s">
        <v>4610</v>
      </c>
      <c r="L7" s="113">
        <v>4186993</v>
      </c>
      <c r="M7" s="168">
        <v>4</v>
      </c>
      <c r="N7" s="113">
        <v>16727037</v>
      </c>
      <c r="O7" s="99" t="s">
        <v>751</v>
      </c>
      <c r="P7" s="96"/>
      <c r="Q7" s="96"/>
      <c r="R7" s="96"/>
      <c r="S7" s="96"/>
      <c r="W7" s="168" t="s">
        <v>4610</v>
      </c>
      <c r="X7" s="168" t="s">
        <v>1084</v>
      </c>
      <c r="Y7" s="113">
        <v>4183832</v>
      </c>
      <c r="Z7" s="168">
        <f t="shared" ref="Z7:Z19" si="4">AB7*AC7/Y7</f>
        <v>0.24118578375039915</v>
      </c>
      <c r="AA7" s="168" t="s">
        <v>4611</v>
      </c>
      <c r="AB7" s="113">
        <v>217.1</v>
      </c>
      <c r="AC7" s="168">
        <v>4648</v>
      </c>
      <c r="AD7" s="168">
        <f t="shared" si="0"/>
        <v>19271.450944265314</v>
      </c>
      <c r="AE7" s="168">
        <f t="shared" si="2"/>
        <v>5.1890228861961954E-5</v>
      </c>
      <c r="AF7" s="99"/>
    </row>
    <row r="8" spans="1:32">
      <c r="A8" s="99" t="s">
        <v>4523</v>
      </c>
      <c r="B8" s="203">
        <v>3414</v>
      </c>
      <c r="C8" s="169">
        <v>3622</v>
      </c>
      <c r="D8" s="99"/>
      <c r="F8">
        <v>0</v>
      </c>
      <c r="G8" s="96"/>
      <c r="H8" s="96"/>
      <c r="I8" s="96"/>
      <c r="J8" s="168">
        <v>7</v>
      </c>
      <c r="K8" s="168" t="s">
        <v>4615</v>
      </c>
      <c r="L8" s="113">
        <v>4223698</v>
      </c>
      <c r="M8" s="168">
        <v>10</v>
      </c>
      <c r="N8" s="113">
        <v>42236984</v>
      </c>
      <c r="O8" s="99" t="s">
        <v>452</v>
      </c>
      <c r="P8" s="96"/>
      <c r="Q8" s="96"/>
      <c r="R8" s="96"/>
      <c r="S8" s="96"/>
      <c r="W8" s="168" t="s">
        <v>4610</v>
      </c>
      <c r="X8" s="168" t="s">
        <v>1084</v>
      </c>
      <c r="Y8" s="113">
        <v>4183832</v>
      </c>
      <c r="Z8" s="168">
        <f t="shared" si="4"/>
        <v>3.2966189847011065</v>
      </c>
      <c r="AA8" s="209" t="s">
        <v>4522</v>
      </c>
      <c r="AB8" s="113">
        <v>4500</v>
      </c>
      <c r="AC8" s="168">
        <v>3065</v>
      </c>
      <c r="AD8" s="209">
        <f t="shared" ref="AD8:AD15" si="5">Y8/AB8</f>
        <v>929.74044444444439</v>
      </c>
      <c r="AE8" s="168">
        <f t="shared" si="2"/>
        <v>1.0755689999024818E-3</v>
      </c>
      <c r="AF8" s="99"/>
    </row>
    <row r="9" spans="1:32">
      <c r="A9" s="99" t="s">
        <v>4565</v>
      </c>
      <c r="B9" s="203">
        <v>1174</v>
      </c>
      <c r="C9" s="169" t="s">
        <v>25</v>
      </c>
      <c r="D9" s="99"/>
      <c r="F9">
        <v>0</v>
      </c>
      <c r="G9" s="96"/>
      <c r="H9" s="96"/>
      <c r="I9" s="96"/>
      <c r="J9" s="168">
        <v>8</v>
      </c>
      <c r="K9" s="168" t="s">
        <v>4615</v>
      </c>
      <c r="L9" s="113">
        <v>4223698</v>
      </c>
      <c r="M9" s="168">
        <v>11</v>
      </c>
      <c r="N9" s="113">
        <v>46460683</v>
      </c>
      <c r="O9" s="99" t="s">
        <v>751</v>
      </c>
      <c r="P9" s="96"/>
      <c r="Q9" s="96"/>
      <c r="R9" s="96"/>
      <c r="S9" s="96"/>
      <c r="W9" s="168" t="s">
        <v>4615</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4616</v>
      </c>
      <c r="L10" s="113">
        <f>N10/M10</f>
        <v>4369699.111111111</v>
      </c>
      <c r="M10" s="168">
        <v>4.5</v>
      </c>
      <c r="N10" s="113">
        <v>19663646</v>
      </c>
      <c r="O10" s="99" t="s">
        <v>751</v>
      </c>
      <c r="P10" s="96"/>
      <c r="Q10" s="96"/>
      <c r="R10" s="96"/>
      <c r="S10" s="96"/>
      <c r="T10" s="96"/>
      <c r="W10" s="168" t="s">
        <v>4615</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4616</v>
      </c>
      <c r="L11" s="113">
        <f>N11/M11</f>
        <v>4369699.111111111</v>
      </c>
      <c r="M11" s="168">
        <v>4.5</v>
      </c>
      <c r="N11" s="113">
        <v>19663646</v>
      </c>
      <c r="O11" s="99" t="s">
        <v>452</v>
      </c>
      <c r="P11" s="96"/>
      <c r="Q11" s="96"/>
      <c r="R11" s="96"/>
      <c r="S11" s="96"/>
      <c r="T11" s="96"/>
      <c r="W11" s="168" t="s">
        <v>4616</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4542</v>
      </c>
      <c r="B12" s="203">
        <v>3965312</v>
      </c>
      <c r="C12" s="169"/>
      <c r="D12" s="59" t="s">
        <v>4862</v>
      </c>
      <c r="F12" s="114">
        <v>0</v>
      </c>
      <c r="J12" s="168">
        <v>11</v>
      </c>
      <c r="K12" s="168" t="s">
        <v>4640</v>
      </c>
      <c r="L12" s="113">
        <v>4374525</v>
      </c>
      <c r="M12" s="168">
        <v>1</v>
      </c>
      <c r="N12" s="113">
        <v>4374525</v>
      </c>
      <c r="O12" s="99" t="s">
        <v>751</v>
      </c>
      <c r="P12" s="96"/>
      <c r="Q12" s="96"/>
      <c r="R12" s="96"/>
      <c r="S12" s="96"/>
      <c r="W12" s="168" t="s">
        <v>4616</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4640</v>
      </c>
      <c r="L13" s="113">
        <v>4374525</v>
      </c>
      <c r="M13" s="168">
        <v>1</v>
      </c>
      <c r="N13" s="113">
        <v>4374525</v>
      </c>
      <c r="O13" s="99" t="s">
        <v>452</v>
      </c>
      <c r="P13" s="96"/>
      <c r="Q13" s="96"/>
      <c r="R13" s="96"/>
      <c r="S13" s="96"/>
      <c r="W13" s="168" t="s">
        <v>4630</v>
      </c>
      <c r="X13" s="168" t="s">
        <v>1084</v>
      </c>
      <c r="Y13" s="113">
        <v>4369699</v>
      </c>
      <c r="Z13" s="168">
        <f t="shared" si="4"/>
        <v>0.22790475957268452</v>
      </c>
      <c r="AA13" s="168" t="s">
        <v>4597</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4652</v>
      </c>
      <c r="L14" s="169">
        <v>4367053</v>
      </c>
      <c r="M14" s="168">
        <v>1.5</v>
      </c>
      <c r="N14" s="113">
        <v>6550580</v>
      </c>
      <c r="O14" s="99" t="s">
        <v>751</v>
      </c>
      <c r="W14" s="168" t="s">
        <v>4630</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4652</v>
      </c>
      <c r="L15" s="169">
        <v>4367053</v>
      </c>
      <c r="M15" s="168">
        <v>1.5</v>
      </c>
      <c r="N15" s="113">
        <v>6550580</v>
      </c>
      <c r="O15" s="99" t="s">
        <v>452</v>
      </c>
      <c r="W15" s="168" t="s">
        <v>4643</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4654</v>
      </c>
      <c r="L16" s="169">
        <v>4433930</v>
      </c>
      <c r="M16" s="210">
        <v>1.5</v>
      </c>
      <c r="N16" s="113">
        <f>L16*M16</f>
        <v>6650895</v>
      </c>
      <c r="O16" s="99" t="s">
        <v>751</v>
      </c>
      <c r="W16" s="168" t="s">
        <v>4654</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4654</v>
      </c>
      <c r="L17" s="169">
        <v>4433930</v>
      </c>
      <c r="M17" s="210">
        <v>1.5</v>
      </c>
      <c r="N17" s="113">
        <f>L17*M17</f>
        <v>6650895</v>
      </c>
      <c r="O17" s="99" t="s">
        <v>452</v>
      </c>
      <c r="W17" s="211" t="s">
        <v>4654</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4677</v>
      </c>
      <c r="L18" s="169">
        <v>4291628</v>
      </c>
      <c r="M18" s="213">
        <v>0.5</v>
      </c>
      <c r="N18" s="113">
        <v>2145814</v>
      </c>
      <c r="O18" s="99" t="s">
        <v>751</v>
      </c>
      <c r="W18" s="168" t="s">
        <v>4667</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4677</v>
      </c>
      <c r="L19" s="169">
        <v>4291628</v>
      </c>
      <c r="M19" s="213">
        <v>0.5</v>
      </c>
      <c r="N19" s="113">
        <v>2145814</v>
      </c>
      <c r="O19" s="99" t="s">
        <v>452</v>
      </c>
      <c r="R19" t="s">
        <v>25</v>
      </c>
      <c r="T19" t="s">
        <v>25</v>
      </c>
      <c r="W19" s="168" t="s">
        <v>4667</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4688</v>
      </c>
      <c r="L20" s="169">
        <v>4369730</v>
      </c>
      <c r="M20" s="213">
        <v>1</v>
      </c>
      <c r="N20" s="113">
        <f t="shared" ref="N20:N38" si="7">L20*M20</f>
        <v>4369730</v>
      </c>
      <c r="O20" s="99" t="s">
        <v>751</v>
      </c>
      <c r="W20" s="168" t="s">
        <v>4673</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4688</v>
      </c>
      <c r="L21" s="169">
        <v>4369730</v>
      </c>
      <c r="M21" s="213">
        <v>1</v>
      </c>
      <c r="N21" s="113">
        <f t="shared" si="7"/>
        <v>4369730</v>
      </c>
      <c r="O21" s="99" t="s">
        <v>452</v>
      </c>
      <c r="R21" t="s">
        <v>25</v>
      </c>
      <c r="W21" s="213" t="s">
        <v>4677</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4689</v>
      </c>
      <c r="L22" s="113">
        <v>4398820</v>
      </c>
      <c r="M22" s="168">
        <v>2</v>
      </c>
      <c r="N22" s="113">
        <f t="shared" si="7"/>
        <v>8797640</v>
      </c>
      <c r="O22" s="99" t="s">
        <v>751</v>
      </c>
      <c r="R22" t="s">
        <v>25</v>
      </c>
      <c r="W22" s="213" t="s">
        <v>4679</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4682</v>
      </c>
      <c r="C23" s="99" t="s">
        <v>4683</v>
      </c>
      <c r="D23" s="99" t="s">
        <v>4684</v>
      </c>
      <c r="E23" s="69" t="s">
        <v>4685</v>
      </c>
      <c r="J23" s="213">
        <v>22</v>
      </c>
      <c r="K23" s="213" t="s">
        <v>4689</v>
      </c>
      <c r="L23" s="113">
        <v>4398820</v>
      </c>
      <c r="M23" s="213">
        <v>2</v>
      </c>
      <c r="N23" s="113">
        <f t="shared" si="7"/>
        <v>8797640</v>
      </c>
      <c r="O23" s="99" t="s">
        <v>452</v>
      </c>
      <c r="Q23" t="s">
        <v>25</v>
      </c>
      <c r="R23" t="s">
        <v>25</v>
      </c>
      <c r="W23" s="168" t="s">
        <v>4679</v>
      </c>
      <c r="X23" s="168" t="s">
        <v>1084</v>
      </c>
      <c r="Y23" s="113">
        <v>4291628</v>
      </c>
      <c r="Z23" s="213">
        <f t="shared" si="9"/>
        <v>4.7641314671262279E-2</v>
      </c>
      <c r="AA23" s="19" t="s">
        <v>4570</v>
      </c>
      <c r="AB23" s="117">
        <v>178.1</v>
      </c>
      <c r="AC23" s="19">
        <v>1148</v>
      </c>
      <c r="AD23" s="19">
        <f t="shared" si="8"/>
        <v>24096.732172936554</v>
      </c>
      <c r="AE23" s="168">
        <f t="shared" si="2"/>
        <v>4.1499403023747632E-5</v>
      </c>
      <c r="AF23" s="99"/>
    </row>
    <row r="24" spans="1:32">
      <c r="A24" s="99" t="s">
        <v>4643</v>
      </c>
      <c r="B24" s="95">
        <v>4080000</v>
      </c>
      <c r="C24" s="95">
        <v>4200000</v>
      </c>
      <c r="D24" s="95"/>
      <c r="E24" s="95"/>
      <c r="J24" s="219">
        <v>23</v>
      </c>
      <c r="K24" s="219" t="s">
        <v>4689</v>
      </c>
      <c r="L24" s="220">
        <v>4388600</v>
      </c>
      <c r="M24" s="219">
        <v>5</v>
      </c>
      <c r="N24" s="220">
        <f t="shared" si="7"/>
        <v>21943000</v>
      </c>
      <c r="O24" s="221" t="s">
        <v>4700</v>
      </c>
      <c r="W24" s="213" t="s">
        <v>4689</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4652</v>
      </c>
      <c r="B25" s="95">
        <v>4100000</v>
      </c>
      <c r="C25" s="95">
        <v>4230000</v>
      </c>
      <c r="D25" s="95"/>
      <c r="E25" s="95"/>
      <c r="J25" s="213">
        <v>24</v>
      </c>
      <c r="K25" s="213" t="s">
        <v>4690</v>
      </c>
      <c r="L25" s="113">
        <v>4445103</v>
      </c>
      <c r="M25" s="213">
        <v>1.5</v>
      </c>
      <c r="N25" s="113">
        <f t="shared" si="7"/>
        <v>6667654.5</v>
      </c>
      <c r="O25" s="99" t="s">
        <v>751</v>
      </c>
      <c r="W25" s="213" t="s">
        <v>4690</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4654</v>
      </c>
      <c r="B26" s="95">
        <v>4230000</v>
      </c>
      <c r="C26" s="95">
        <v>4330000</v>
      </c>
      <c r="D26" s="95">
        <v>12200</v>
      </c>
      <c r="E26" s="95">
        <v>12350</v>
      </c>
      <c r="J26" s="213">
        <v>25</v>
      </c>
      <c r="K26" s="213" t="s">
        <v>4690</v>
      </c>
      <c r="L26" s="113">
        <v>4445103</v>
      </c>
      <c r="M26" s="213">
        <v>1.5</v>
      </c>
      <c r="N26" s="113">
        <f t="shared" si="7"/>
        <v>6667654.5</v>
      </c>
      <c r="O26" s="99" t="s">
        <v>452</v>
      </c>
      <c r="R26" t="s">
        <v>25</v>
      </c>
      <c r="W26" s="213" t="s">
        <v>4699</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4667</v>
      </c>
      <c r="B27" s="95">
        <v>4270000</v>
      </c>
      <c r="C27" s="95">
        <v>4370000</v>
      </c>
      <c r="D27" s="95"/>
      <c r="E27" s="95"/>
      <c r="J27" s="213">
        <v>26</v>
      </c>
      <c r="K27" s="213" t="s">
        <v>4699</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4677</v>
      </c>
      <c r="B28" s="95">
        <v>3980000</v>
      </c>
      <c r="C28" s="95">
        <v>4120000</v>
      </c>
      <c r="D28" s="95">
        <v>11450</v>
      </c>
      <c r="E28" s="95">
        <v>11650</v>
      </c>
      <c r="J28" s="213">
        <v>27</v>
      </c>
      <c r="K28" s="213" t="s">
        <v>4699</v>
      </c>
      <c r="L28" s="113">
        <v>4490623</v>
      </c>
      <c r="M28" s="213">
        <v>2</v>
      </c>
      <c r="N28" s="113">
        <f t="shared" si="7"/>
        <v>8981246</v>
      </c>
      <c r="O28" s="99" t="s">
        <v>452</v>
      </c>
      <c r="W28" s="213" t="s">
        <v>4712</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4679</v>
      </c>
      <c r="B29" s="95">
        <v>4120000</v>
      </c>
      <c r="C29" s="95">
        <v>4230000</v>
      </c>
      <c r="D29" s="95">
        <v>11650</v>
      </c>
      <c r="E29" s="95">
        <v>11750</v>
      </c>
      <c r="J29" s="213">
        <v>28</v>
      </c>
      <c r="K29" s="213" t="s">
        <v>3682</v>
      </c>
      <c r="L29" s="113">
        <v>4590878</v>
      </c>
      <c r="M29" s="213">
        <v>2</v>
      </c>
      <c r="N29" s="113">
        <f t="shared" si="7"/>
        <v>9181756</v>
      </c>
      <c r="O29" s="99" t="s">
        <v>751</v>
      </c>
      <c r="W29" s="213" t="s">
        <v>4712</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4680</v>
      </c>
      <c r="B30" s="95">
        <v>4170000</v>
      </c>
      <c r="C30" s="95">
        <v>4280000</v>
      </c>
      <c r="D30" s="95">
        <v>11750</v>
      </c>
      <c r="E30" s="95">
        <v>11900</v>
      </c>
      <c r="J30" s="213">
        <v>29</v>
      </c>
      <c r="K30" s="213" t="s">
        <v>3682</v>
      </c>
      <c r="L30" s="113">
        <v>4590878</v>
      </c>
      <c r="M30" s="213">
        <v>2</v>
      </c>
      <c r="N30" s="113">
        <f t="shared" si="7"/>
        <v>9181756</v>
      </c>
      <c r="O30" s="99" t="s">
        <v>452</v>
      </c>
      <c r="R30" t="s">
        <v>25</v>
      </c>
      <c r="W30" s="213" t="s">
        <v>4712</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4686</v>
      </c>
      <c r="B31" s="95">
        <v>4130000</v>
      </c>
      <c r="C31" s="95">
        <v>4260000</v>
      </c>
      <c r="D31" s="95">
        <v>11850</v>
      </c>
      <c r="E31" s="95">
        <v>11950</v>
      </c>
      <c r="J31" s="213">
        <v>30</v>
      </c>
      <c r="K31" s="213" t="s">
        <v>4712</v>
      </c>
      <c r="L31" s="113">
        <v>4724483</v>
      </c>
      <c r="M31" s="213">
        <v>2.5</v>
      </c>
      <c r="N31" s="113">
        <f t="shared" si="7"/>
        <v>11811207.5</v>
      </c>
      <c r="O31" s="99" t="s">
        <v>751</v>
      </c>
      <c r="W31" s="213" t="s">
        <v>4712</v>
      </c>
      <c r="X31" s="213" t="s">
        <v>1084</v>
      </c>
      <c r="Y31" s="113">
        <v>4590878</v>
      </c>
      <c r="Z31" s="213">
        <f t="shared" si="9"/>
        <v>1.0887767002303264</v>
      </c>
      <c r="AA31" s="13" t="s">
        <v>4523</v>
      </c>
      <c r="AB31" s="117">
        <v>3859.8</v>
      </c>
      <c r="AC31" s="19">
        <v>1295</v>
      </c>
      <c r="AD31" s="13">
        <f t="shared" si="8"/>
        <v>1189.4082594953106</v>
      </c>
      <c r="AE31" s="213">
        <f t="shared" si="2"/>
        <v>8.4075420867206669E-4</v>
      </c>
      <c r="AF31" s="99"/>
    </row>
    <row r="32" spans="1:32">
      <c r="A32" s="99" t="s">
        <v>4688</v>
      </c>
      <c r="B32" s="95">
        <v>4100000</v>
      </c>
      <c r="C32" s="95">
        <v>4220000</v>
      </c>
      <c r="D32" s="95">
        <v>11800</v>
      </c>
      <c r="E32" s="95">
        <v>11980</v>
      </c>
      <c r="J32" s="213">
        <v>31</v>
      </c>
      <c r="K32" s="213" t="s">
        <v>4712</v>
      </c>
      <c r="L32" s="113">
        <v>4724483</v>
      </c>
      <c r="M32" s="213">
        <v>2.5</v>
      </c>
      <c r="N32" s="113">
        <f t="shared" si="7"/>
        <v>11811207.5</v>
      </c>
      <c r="O32" s="99" t="s">
        <v>452</v>
      </c>
      <c r="W32" s="213" t="s">
        <v>4716</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4717</v>
      </c>
    </row>
    <row r="33" spans="1:32">
      <c r="A33" s="99" t="s">
        <v>4689</v>
      </c>
      <c r="B33" s="95">
        <v>4220000</v>
      </c>
      <c r="C33" s="95">
        <v>4320000</v>
      </c>
      <c r="D33" s="95">
        <v>11900</v>
      </c>
      <c r="E33" s="95">
        <v>12050</v>
      </c>
      <c r="J33" s="213">
        <v>32</v>
      </c>
      <c r="K33" s="213" t="s">
        <v>4728</v>
      </c>
      <c r="L33" s="113">
        <v>4852712</v>
      </c>
      <c r="M33" s="213">
        <v>8.5</v>
      </c>
      <c r="N33" s="113">
        <f t="shared" si="7"/>
        <v>41248052</v>
      </c>
      <c r="O33" s="99" t="s">
        <v>751</v>
      </c>
      <c r="W33" s="213" t="s">
        <v>4716</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4690</v>
      </c>
      <c r="B34" s="95">
        <v>4240000</v>
      </c>
      <c r="C34" s="95">
        <v>4340000</v>
      </c>
      <c r="D34" s="95">
        <v>12100</v>
      </c>
      <c r="E34" s="95">
        <v>12250</v>
      </c>
      <c r="I34" t="s">
        <v>25</v>
      </c>
      <c r="J34" s="213">
        <v>33</v>
      </c>
      <c r="K34" s="213" t="s">
        <v>4728</v>
      </c>
      <c r="L34" s="113">
        <v>4852712</v>
      </c>
      <c r="M34" s="213">
        <v>8.5</v>
      </c>
      <c r="N34" s="113">
        <f t="shared" si="7"/>
        <v>41248052</v>
      </c>
      <c r="O34" s="99" t="s">
        <v>452</v>
      </c>
      <c r="W34" s="213" t="s">
        <v>4716</v>
      </c>
      <c r="X34" s="213" t="s">
        <v>1084</v>
      </c>
      <c r="Y34" s="113">
        <v>4724483</v>
      </c>
      <c r="Z34" s="213">
        <f t="shared" si="9"/>
        <v>2.8236157480088302</v>
      </c>
      <c r="AA34" s="5" t="s">
        <v>4523</v>
      </c>
      <c r="AB34" s="117">
        <v>3853.3</v>
      </c>
      <c r="AC34" s="213">
        <v>3462</v>
      </c>
      <c r="AD34" s="5">
        <f t="shared" si="8"/>
        <v>1226.0875094075207</v>
      </c>
      <c r="AE34" s="213">
        <f t="shared" si="2"/>
        <v>8.1560246909556037E-4</v>
      </c>
      <c r="AF34" s="99"/>
    </row>
    <row r="35" spans="1:32">
      <c r="A35" s="99" t="s">
        <v>4699</v>
      </c>
      <c r="B35" s="95">
        <v>4230000</v>
      </c>
      <c r="C35" s="95">
        <v>4370000</v>
      </c>
      <c r="D35" s="95">
        <v>12100</v>
      </c>
      <c r="E35" s="95">
        <v>12250</v>
      </c>
      <c r="J35" s="213">
        <v>34</v>
      </c>
      <c r="K35" s="213" t="s">
        <v>4730</v>
      </c>
      <c r="L35" s="113">
        <v>4977171</v>
      </c>
      <c r="M35" s="213">
        <v>7.5</v>
      </c>
      <c r="N35" s="113">
        <f t="shared" si="7"/>
        <v>37328782.5</v>
      </c>
      <c r="O35" s="99" t="s">
        <v>751</v>
      </c>
      <c r="W35" s="213" t="s">
        <v>4730</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4730</v>
      </c>
      <c r="L36" s="113">
        <v>4977171</v>
      </c>
      <c r="M36" s="213">
        <v>7.5</v>
      </c>
      <c r="N36" s="113">
        <f t="shared" si="7"/>
        <v>37328782.5</v>
      </c>
      <c r="O36" s="99" t="s">
        <v>452</v>
      </c>
      <c r="R36" s="96"/>
      <c r="W36" s="213" t="s">
        <v>4730</v>
      </c>
      <c r="X36" s="213" t="s">
        <v>1084</v>
      </c>
      <c r="Y36" s="113">
        <v>4852712</v>
      </c>
      <c r="Z36" s="213">
        <f t="shared" si="9"/>
        <v>13.047731721973198</v>
      </c>
      <c r="AA36" s="13" t="s">
        <v>4523</v>
      </c>
      <c r="AB36" s="117">
        <v>4176.3</v>
      </c>
      <c r="AC36" s="213">
        <v>15161</v>
      </c>
      <c r="AD36" s="13">
        <f t="shared" si="8"/>
        <v>1161.9644182649713</v>
      </c>
      <c r="AE36" s="213">
        <f t="shared" si="2"/>
        <v>8.6061155081941813E-4</v>
      </c>
      <c r="AF36" s="99"/>
    </row>
    <row r="37" spans="1:32">
      <c r="A37" s="99" t="s">
        <v>4712</v>
      </c>
      <c r="B37" s="95">
        <v>4370000</v>
      </c>
      <c r="C37" s="95">
        <v>4480000</v>
      </c>
      <c r="D37" s="95">
        <v>12600</v>
      </c>
      <c r="E37" s="95">
        <v>12700</v>
      </c>
      <c r="J37" s="213">
        <v>36</v>
      </c>
      <c r="K37" s="213" t="s">
        <v>4862</v>
      </c>
      <c r="L37" s="113">
        <v>5048479</v>
      </c>
      <c r="M37" s="213">
        <v>4</v>
      </c>
      <c r="N37" s="113">
        <f t="shared" si="7"/>
        <v>20193916</v>
      </c>
      <c r="O37" s="99" t="s">
        <v>751</v>
      </c>
      <c r="W37" s="213" t="s">
        <v>4730</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4716</v>
      </c>
      <c r="B38" s="95">
        <v>4470000</v>
      </c>
      <c r="C38" s="95">
        <v>4580000</v>
      </c>
      <c r="D38" s="95">
        <v>13050</v>
      </c>
      <c r="E38" s="95">
        <v>13200</v>
      </c>
      <c r="J38" s="213">
        <v>37</v>
      </c>
      <c r="K38" s="213" t="s">
        <v>4862</v>
      </c>
      <c r="L38" s="113">
        <v>5048479</v>
      </c>
      <c r="M38" s="213">
        <v>9</v>
      </c>
      <c r="N38" s="113">
        <f t="shared" si="7"/>
        <v>45436311</v>
      </c>
      <c r="O38" s="99" t="s">
        <v>452</v>
      </c>
      <c r="W38" s="213" t="s">
        <v>4738</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4722</v>
      </c>
      <c r="B39" s="95">
        <v>4600000</v>
      </c>
      <c r="C39" s="95">
        <v>4720000</v>
      </c>
      <c r="D39" s="95"/>
      <c r="E39" s="95"/>
      <c r="J39" s="213"/>
      <c r="K39" s="213"/>
      <c r="L39" s="113"/>
      <c r="M39" s="213"/>
      <c r="N39" s="113"/>
      <c r="O39" s="99"/>
      <c r="W39" s="213" t="s">
        <v>4738</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4728</v>
      </c>
      <c r="B40" s="95">
        <v>4530000</v>
      </c>
      <c r="C40" s="95">
        <v>4680000</v>
      </c>
      <c r="D40" s="95">
        <v>13000</v>
      </c>
      <c r="E40" s="95">
        <v>13150</v>
      </c>
      <c r="J40" s="168"/>
      <c r="K40" s="168"/>
      <c r="L40" s="113" t="s">
        <v>25</v>
      </c>
      <c r="M40" s="168"/>
      <c r="N40" s="113"/>
      <c r="O40" s="99"/>
      <c r="W40" s="213" t="s">
        <v>4738</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4730</v>
      </c>
      <c r="B41" s="95">
        <v>4750000</v>
      </c>
      <c r="C41" s="95">
        <v>4900000</v>
      </c>
      <c r="D41" s="95">
        <v>13750</v>
      </c>
      <c r="E41" s="95">
        <v>13900</v>
      </c>
      <c r="J41" s="168"/>
      <c r="K41" s="168"/>
      <c r="L41" s="168"/>
      <c r="M41" s="168">
        <f>SUM(M2:M40)</f>
        <v>140</v>
      </c>
      <c r="N41" s="113">
        <f>SUM(N2:N40)</f>
        <v>618472600</v>
      </c>
      <c r="O41" s="169">
        <f>N41/(M41-3)</f>
        <v>4514398.5401459858</v>
      </c>
      <c r="W41" s="230" t="s">
        <v>4753</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4738</v>
      </c>
      <c r="B42" s="95">
        <v>4700000</v>
      </c>
      <c r="C42" s="95">
        <v>4850000</v>
      </c>
      <c r="D42" s="95">
        <v>13650</v>
      </c>
      <c r="E42" s="95">
        <v>13800</v>
      </c>
      <c r="J42" s="168"/>
      <c r="K42" s="168"/>
      <c r="L42" s="168"/>
      <c r="M42" s="168" t="s">
        <v>6</v>
      </c>
      <c r="N42" s="168"/>
      <c r="O42" s="99"/>
      <c r="P42">
        <f>O44/2</f>
        <v>37328780.5</v>
      </c>
      <c r="Q42">
        <f>O44/15</f>
        <v>4977170.7333333334</v>
      </c>
      <c r="W42" s="213" t="s">
        <v>4766</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4745</v>
      </c>
      <c r="B43" s="95">
        <v>4550000</v>
      </c>
      <c r="C43" s="95">
        <v>4750000</v>
      </c>
      <c r="D43" s="95">
        <v>13400</v>
      </c>
      <c r="E43" s="95">
        <v>13500</v>
      </c>
      <c r="M43" s="113">
        <f>N41/(M41-3)</f>
        <v>4514398.5401459858</v>
      </c>
      <c r="S43" t="s">
        <v>25</v>
      </c>
      <c r="W43" s="231" t="s">
        <v>4771</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4753</v>
      </c>
      <c r="B44" s="95">
        <v>4580000</v>
      </c>
      <c r="C44" s="95">
        <v>4750000</v>
      </c>
      <c r="D44" s="95">
        <v>13350</v>
      </c>
      <c r="E44" s="95">
        <v>13500</v>
      </c>
      <c r="I44" s="41"/>
      <c r="M44" s="41" t="s">
        <v>4510</v>
      </c>
      <c r="N44" t="s">
        <v>25</v>
      </c>
      <c r="O44" s="223">
        <v>74657561</v>
      </c>
      <c r="R44" t="s">
        <v>25</v>
      </c>
      <c r="W44" s="213" t="s">
        <v>4780</v>
      </c>
      <c r="X44" s="213" t="s">
        <v>4288</v>
      </c>
      <c r="Y44" s="113">
        <v>299.10000000000002</v>
      </c>
      <c r="Z44" s="213">
        <v>5658</v>
      </c>
      <c r="AA44" s="213" t="s">
        <v>4235</v>
      </c>
      <c r="AB44" s="213">
        <v>182.5</v>
      </c>
      <c r="AC44" s="213">
        <v>9173</v>
      </c>
      <c r="AD44" s="213">
        <f>Y44/AB44</f>
        <v>1.6389041095890413</v>
      </c>
      <c r="AE44" s="213">
        <f t="shared" si="2"/>
        <v>0.61016382480775655</v>
      </c>
      <c r="AF44" s="99" t="s">
        <v>4781</v>
      </c>
    </row>
    <row r="45" spans="1:32">
      <c r="A45" s="99" t="s">
        <v>4761</v>
      </c>
      <c r="B45" s="95">
        <v>4500000</v>
      </c>
      <c r="C45" s="95">
        <v>4650000</v>
      </c>
      <c r="D45" s="95">
        <v>13250</v>
      </c>
      <c r="E45" s="95">
        <v>13450</v>
      </c>
      <c r="W45" s="213" t="s">
        <v>4780</v>
      </c>
      <c r="X45" s="213" t="s">
        <v>4385</v>
      </c>
      <c r="Y45" s="113">
        <v>5149.1000000000004</v>
      </c>
      <c r="Z45" s="213">
        <v>290</v>
      </c>
      <c r="AA45" s="213" t="s">
        <v>4523</v>
      </c>
      <c r="AB45" s="213">
        <v>3933</v>
      </c>
      <c r="AC45" s="213">
        <v>375</v>
      </c>
      <c r="AD45" s="213">
        <f>Y45/AB45</f>
        <v>1.3092041698449022</v>
      </c>
      <c r="AE45" s="213">
        <f t="shared" ref="AE45" si="10">AB45/Y45</f>
        <v>0.76382280398516245</v>
      </c>
      <c r="AF45" s="99" t="s">
        <v>25</v>
      </c>
    </row>
    <row r="46" spans="1:32">
      <c r="A46" s="99" t="s">
        <v>4766</v>
      </c>
      <c r="B46" s="95">
        <v>4620000</v>
      </c>
      <c r="C46" s="95">
        <v>4770000</v>
      </c>
      <c r="D46" s="95">
        <v>13600</v>
      </c>
      <c r="E46" s="95">
        <v>13700</v>
      </c>
      <c r="W46" s="213" t="s">
        <v>4804</v>
      </c>
      <c r="X46" s="213" t="s">
        <v>4385</v>
      </c>
      <c r="Y46" s="113">
        <v>5399.3</v>
      </c>
      <c r="Z46" s="213">
        <v>2000</v>
      </c>
      <c r="AA46" s="213" t="s">
        <v>4523</v>
      </c>
      <c r="AB46" s="213">
        <v>4049.8</v>
      </c>
      <c r="AC46" s="213">
        <v>2638</v>
      </c>
      <c r="AD46" s="213">
        <f>Y46/AB46</f>
        <v>1.3332263321645512</v>
      </c>
      <c r="AE46" s="213">
        <f t="shared" ref="AE46:AE47" si="11">AB46/Y46</f>
        <v>0.75006019298797988</v>
      </c>
      <c r="AF46" s="99"/>
    </row>
    <row r="47" spans="1:32">
      <c r="A47" s="99" t="s">
        <v>4770</v>
      </c>
      <c r="B47" s="95">
        <v>4400000</v>
      </c>
      <c r="C47" s="95">
        <v>4600000</v>
      </c>
      <c r="D47" s="95">
        <v>13200</v>
      </c>
      <c r="E47" s="95">
        <v>13400</v>
      </c>
      <c r="L47">
        <f>140-M41</f>
        <v>0</v>
      </c>
      <c r="M47">
        <f>70-M2-M4-M5-M7-M9-M10-M12-M14-M16-M18-M20-M22-M25-M27-M29-M31-M33-M35-M37</f>
        <v>0</v>
      </c>
      <c r="N47" t="s">
        <v>483</v>
      </c>
      <c r="W47" s="213" t="s">
        <v>4952</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4771</v>
      </c>
      <c r="B48" s="95">
        <v>4250000</v>
      </c>
      <c r="C48" s="95">
        <v>4450000</v>
      </c>
      <c r="D48" s="95">
        <v>12750</v>
      </c>
      <c r="E48" s="95">
        <v>12900</v>
      </c>
      <c r="M48">
        <f>65-M3-M6-M8-M11-M13-M15-M17-M19-M21-M23-M26-M28-M30-M32-M34-M36-M38</f>
        <v>0</v>
      </c>
      <c r="N48" t="s">
        <v>5</v>
      </c>
      <c r="W48" s="213" t="s">
        <v>4952</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4780</v>
      </c>
      <c r="B49" s="95">
        <v>4380000</v>
      </c>
      <c r="C49" s="95">
        <v>4520000</v>
      </c>
      <c r="D49" s="95">
        <v>12750</v>
      </c>
      <c r="E49" s="95">
        <v>12900</v>
      </c>
      <c r="K49">
        <v>16</v>
      </c>
      <c r="L49" s="223">
        <v>807756734</v>
      </c>
      <c r="M49">
        <f>L49/16</f>
        <v>50484795.875</v>
      </c>
      <c r="N49">
        <f>M49*4</f>
        <v>201939183.5</v>
      </c>
      <c r="W49" s="213" t="s">
        <v>4952</v>
      </c>
      <c r="X49" s="213" t="s">
        <v>4523</v>
      </c>
      <c r="Y49" s="113">
        <v>4909.6000000000004</v>
      </c>
      <c r="Z49" s="213">
        <v>2000</v>
      </c>
      <c r="AA49" s="213" t="s">
        <v>4381</v>
      </c>
      <c r="AB49" s="213">
        <v>3715.1</v>
      </c>
      <c r="AC49" s="213">
        <v>2603</v>
      </c>
      <c r="AD49" s="213">
        <f>Y49/AB49</f>
        <v>1.321525665527173</v>
      </c>
      <c r="AE49" s="213">
        <f t="shared" si="13"/>
        <v>0.75670115691706041</v>
      </c>
      <c r="AF49" s="99"/>
    </row>
    <row r="50" spans="1:32">
      <c r="A50" s="99" t="s">
        <v>4783</v>
      </c>
      <c r="B50" s="95">
        <v>4500000</v>
      </c>
      <c r="C50" s="95">
        <v>4630000</v>
      </c>
      <c r="D50" s="95">
        <v>13200</v>
      </c>
      <c r="E50" s="95">
        <v>13400</v>
      </c>
      <c r="N50">
        <f>M49*9</f>
        <v>454363162.875</v>
      </c>
      <c r="W50" s="213" t="s">
        <v>4952</v>
      </c>
      <c r="X50" s="213" t="s">
        <v>4523</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4952</v>
      </c>
      <c r="X51" s="213" t="s">
        <v>4523</v>
      </c>
      <c r="Y51" s="113">
        <v>4949</v>
      </c>
      <c r="Z51" s="213">
        <v>1000</v>
      </c>
      <c r="AA51" s="213" t="s">
        <v>4235</v>
      </c>
      <c r="AB51" s="213">
        <v>192</v>
      </c>
      <c r="AC51" s="213" t="s">
        <v>4956</v>
      </c>
      <c r="AD51" s="213">
        <f t="shared" si="12"/>
        <v>25.776041666666668</v>
      </c>
      <c r="AE51" s="213">
        <f t="shared" si="13"/>
        <v>3.8795716306324508E-2</v>
      </c>
      <c r="AF51" s="99"/>
    </row>
    <row r="52" spans="1:32">
      <c r="A52" s="99" t="s">
        <v>4804</v>
      </c>
      <c r="B52" s="95">
        <v>4480000</v>
      </c>
      <c r="C52" s="95">
        <v>4600000</v>
      </c>
      <c r="D52" s="95">
        <v>13050</v>
      </c>
      <c r="E52" s="95">
        <v>13200</v>
      </c>
      <c r="K52" s="168" t="s">
        <v>4519</v>
      </c>
      <c r="L52" s="168" t="s">
        <v>1084</v>
      </c>
      <c r="M52" s="168" t="s">
        <v>4235</v>
      </c>
      <c r="N52" s="168" t="s">
        <v>4536</v>
      </c>
      <c r="O52" s="168"/>
      <c r="W52" s="213" t="s">
        <v>4959</v>
      </c>
      <c r="X52" s="213" t="s">
        <v>4523</v>
      </c>
      <c r="Y52" s="113">
        <v>4957.7</v>
      </c>
      <c r="Z52" s="213" t="s">
        <v>4956</v>
      </c>
      <c r="AA52" s="213" t="s">
        <v>4381</v>
      </c>
      <c r="AB52" s="213">
        <v>3589.3</v>
      </c>
      <c r="AC52" s="213" t="s">
        <v>4956</v>
      </c>
      <c r="AD52" s="213">
        <f t="shared" si="12"/>
        <v>1.3812442537542138</v>
      </c>
      <c r="AE52" s="213">
        <f t="shared" si="13"/>
        <v>0.72398491235855345</v>
      </c>
      <c r="AF52" s="99"/>
    </row>
    <row r="53" spans="1:32">
      <c r="A53" s="99" t="s">
        <v>4806</v>
      </c>
      <c r="B53" s="95">
        <v>4400000</v>
      </c>
      <c r="C53" s="95">
        <v>4550000</v>
      </c>
      <c r="D53" s="95">
        <v>12850</v>
      </c>
      <c r="E53" s="95">
        <v>13000</v>
      </c>
      <c r="K53" s="168" t="s">
        <v>4509</v>
      </c>
      <c r="L53" s="168">
        <v>3390000</v>
      </c>
      <c r="M53" s="168">
        <v>161.4</v>
      </c>
      <c r="N53" s="168">
        <f>L53/M53</f>
        <v>21003.717472118959</v>
      </c>
      <c r="O53" s="168"/>
      <c r="W53" s="213" t="s">
        <v>4959</v>
      </c>
      <c r="X53" s="213" t="s">
        <v>4523</v>
      </c>
      <c r="Y53" s="113">
        <v>4958</v>
      </c>
      <c r="Z53" s="213" t="s">
        <v>4956</v>
      </c>
      <c r="AA53" s="213" t="s">
        <v>4385</v>
      </c>
      <c r="AB53" s="213">
        <v>4730.8999999999996</v>
      </c>
      <c r="AC53" s="213" t="s">
        <v>4956</v>
      </c>
      <c r="AD53" s="213">
        <f t="shared" si="12"/>
        <v>1.0480035511213512</v>
      </c>
      <c r="AE53" s="213">
        <f t="shared" si="13"/>
        <v>0.95419524001613543</v>
      </c>
      <c r="AF53" s="99"/>
    </row>
    <row r="54" spans="1:32">
      <c r="A54" s="99" t="s">
        <v>4808</v>
      </c>
      <c r="B54" s="95">
        <v>4400000</v>
      </c>
      <c r="C54" s="95">
        <v>4520000</v>
      </c>
      <c r="D54" s="95">
        <v>12800</v>
      </c>
      <c r="E54" s="95">
        <v>12950</v>
      </c>
      <c r="K54" s="168"/>
      <c r="L54" s="168"/>
      <c r="M54" s="168"/>
      <c r="N54" s="168"/>
      <c r="O54" s="168"/>
      <c r="W54" s="213" t="s">
        <v>4959</v>
      </c>
      <c r="X54" s="213" t="s">
        <v>4523</v>
      </c>
      <c r="Y54" s="113">
        <v>4958</v>
      </c>
      <c r="Z54" s="213" t="s">
        <v>4956</v>
      </c>
      <c r="AA54" s="213" t="s">
        <v>4399</v>
      </c>
      <c r="AB54" s="213">
        <v>671.9</v>
      </c>
      <c r="AC54" s="213" t="s">
        <v>4956</v>
      </c>
      <c r="AD54" s="213">
        <f t="shared" si="12"/>
        <v>7.379074267004019</v>
      </c>
      <c r="AE54" s="213">
        <f t="shared" si="13"/>
        <v>0.13551835417507058</v>
      </c>
      <c r="AF54" s="99"/>
    </row>
    <row r="55" spans="1:32">
      <c r="A55" s="99" t="s">
        <v>4815</v>
      </c>
      <c r="B55" s="95">
        <v>4460000</v>
      </c>
      <c r="C55" s="95">
        <v>4580000</v>
      </c>
      <c r="D55" s="95">
        <v>12850</v>
      </c>
      <c r="E55" s="95">
        <v>13000</v>
      </c>
      <c r="K55" s="168"/>
      <c r="L55" s="168"/>
      <c r="M55" s="168"/>
      <c r="N55" s="168"/>
      <c r="O55" s="168"/>
      <c r="W55" s="213" t="s">
        <v>4959</v>
      </c>
      <c r="X55" s="213" t="s">
        <v>4523</v>
      </c>
      <c r="Y55" s="113">
        <v>4958</v>
      </c>
      <c r="Z55" s="213" t="s">
        <v>4956</v>
      </c>
      <c r="AA55" s="213" t="s">
        <v>4235</v>
      </c>
      <c r="AB55" s="213">
        <v>194.4</v>
      </c>
      <c r="AC55" s="213" t="s">
        <v>4956</v>
      </c>
      <c r="AD55" s="213">
        <f t="shared" si="12"/>
        <v>25.504115226337447</v>
      </c>
      <c r="AE55" s="213">
        <f t="shared" si="13"/>
        <v>3.9209358612343689E-2</v>
      </c>
      <c r="AF55" s="99"/>
    </row>
    <row r="56" spans="1:32">
      <c r="A56" s="99" t="s">
        <v>4821</v>
      </c>
      <c r="B56" s="95">
        <v>4500000</v>
      </c>
      <c r="C56" s="95">
        <v>4620000</v>
      </c>
      <c r="D56" s="95">
        <v>13000</v>
      </c>
      <c r="E56" s="95">
        <v>13200</v>
      </c>
      <c r="K56" s="168"/>
      <c r="L56" s="168"/>
      <c r="M56" s="168"/>
      <c r="N56" s="168"/>
      <c r="O56" s="168"/>
      <c r="W56" s="213" t="s">
        <v>5041</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4826</v>
      </c>
      <c r="B57" s="95">
        <v>4450000</v>
      </c>
      <c r="C57" s="95">
        <v>4600000</v>
      </c>
      <c r="D57" s="95">
        <v>12850</v>
      </c>
      <c r="E57" s="95">
        <v>13050</v>
      </c>
      <c r="K57" s="168"/>
      <c r="L57" s="168"/>
      <c r="M57" s="168"/>
      <c r="N57" s="168"/>
      <c r="O57" s="168"/>
      <c r="W57" s="213" t="s">
        <v>5045</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4835</v>
      </c>
      <c r="B58" s="95">
        <v>4500000</v>
      </c>
      <c r="C58" s="95">
        <v>4650000</v>
      </c>
      <c r="D58" s="95">
        <v>12900</v>
      </c>
      <c r="E58" s="95">
        <v>13100</v>
      </c>
      <c r="K58" s="168"/>
      <c r="L58" s="168"/>
      <c r="M58" s="168"/>
      <c r="N58" s="168"/>
      <c r="O58" s="168"/>
      <c r="W58" s="213" t="s">
        <v>5053</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4862</v>
      </c>
      <c r="B59" s="95">
        <v>4700000</v>
      </c>
      <c r="C59" s="95">
        <v>4800000</v>
      </c>
      <c r="D59" s="95">
        <v>13300</v>
      </c>
      <c r="E59" s="95">
        <v>13450</v>
      </c>
      <c r="K59" s="168"/>
      <c r="L59" s="168"/>
      <c r="M59" s="168"/>
      <c r="N59" s="168"/>
      <c r="O59" s="168"/>
      <c r="W59" s="213" t="s">
        <v>5084</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4871</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4984</v>
      </c>
      <c r="B63" s="95">
        <v>4700000</v>
      </c>
      <c r="C63" s="95">
        <v>4830000</v>
      </c>
      <c r="D63" s="95">
        <v>13850</v>
      </c>
      <c r="E63" s="95">
        <v>14050</v>
      </c>
      <c r="I63" s="213" t="s">
        <v>8</v>
      </c>
      <c r="J63" s="213" t="s">
        <v>4741</v>
      </c>
      <c r="K63" s="213" t="s">
        <v>180</v>
      </c>
      <c r="L63" s="226" t="s">
        <v>4739</v>
      </c>
      <c r="M63" s="226" t="s">
        <v>4740</v>
      </c>
      <c r="N63" s="213" t="s">
        <v>6</v>
      </c>
      <c r="O63" s="213" t="s">
        <v>4742</v>
      </c>
      <c r="P63" s="213" t="s">
        <v>4755</v>
      </c>
      <c r="W63" s="168"/>
      <c r="X63" s="168"/>
      <c r="Y63" s="113"/>
      <c r="Z63" s="168"/>
      <c r="AA63" s="168"/>
      <c r="AB63" s="113"/>
      <c r="AC63" s="168"/>
      <c r="AD63" s="19"/>
      <c r="AE63" s="168"/>
      <c r="AF63" s="99"/>
    </row>
    <row r="64" spans="1:32">
      <c r="A64" s="99" t="s">
        <v>5038</v>
      </c>
      <c r="B64" s="95">
        <v>4600000</v>
      </c>
      <c r="C64" s="95">
        <v>4700000</v>
      </c>
      <c r="D64" s="95">
        <v>13300</v>
      </c>
      <c r="E64" s="95">
        <v>13500</v>
      </c>
      <c r="G64" t="s">
        <v>25</v>
      </c>
      <c r="I64" s="213"/>
      <c r="J64" s="213"/>
      <c r="K64" s="213" t="s">
        <v>4689</v>
      </c>
      <c r="L64" s="84">
        <v>535989412</v>
      </c>
      <c r="M64" s="84"/>
      <c r="N64" s="213"/>
      <c r="O64" s="213"/>
      <c r="P64" s="213"/>
      <c r="Q64" s="84">
        <v>0</v>
      </c>
      <c r="Z64" t="s">
        <v>25</v>
      </c>
      <c r="AC64" t="s">
        <v>25</v>
      </c>
    </row>
    <row r="65" spans="1:32">
      <c r="A65" s="99" t="s">
        <v>5087</v>
      </c>
      <c r="B65" s="95">
        <v>4520000</v>
      </c>
      <c r="C65" s="95">
        <v>4620000</v>
      </c>
      <c r="D65" s="95">
        <v>12950</v>
      </c>
      <c r="E65" s="95">
        <v>13150</v>
      </c>
      <c r="I65" s="213"/>
      <c r="J65" s="113">
        <f>L65-L64</f>
        <v>12939932</v>
      </c>
      <c r="K65" s="213" t="s">
        <v>4716</v>
      </c>
      <c r="L65" s="84">
        <v>548929344</v>
      </c>
      <c r="M65" s="84"/>
      <c r="N65" s="213"/>
      <c r="O65" s="213"/>
      <c r="P65" s="213"/>
      <c r="Q65" s="84">
        <v>0</v>
      </c>
      <c r="Z65" t="s">
        <v>25</v>
      </c>
      <c r="AA65" t="s">
        <v>25</v>
      </c>
      <c r="AB65" t="s">
        <v>25</v>
      </c>
      <c r="AD65" t="s">
        <v>25</v>
      </c>
    </row>
    <row r="66" spans="1:32">
      <c r="A66" s="99" t="s">
        <v>5130</v>
      </c>
      <c r="B66" s="95">
        <v>3900000</v>
      </c>
      <c r="C66" s="95">
        <v>4050000</v>
      </c>
      <c r="D66" s="95">
        <v>10900</v>
      </c>
      <c r="E66" s="95">
        <v>11150</v>
      </c>
      <c r="F66" t="s">
        <v>25</v>
      </c>
      <c r="I66" s="213"/>
      <c r="J66" s="113">
        <f t="shared" ref="J66:J88" si="14">L66-L65</f>
        <v>11531981</v>
      </c>
      <c r="K66" s="213" t="s">
        <v>4722</v>
      </c>
      <c r="L66" s="84">
        <v>560461325</v>
      </c>
      <c r="M66" s="84"/>
      <c r="N66" s="213"/>
      <c r="O66" s="213"/>
      <c r="P66" s="213"/>
      <c r="Q66" s="84">
        <v>0</v>
      </c>
      <c r="X66" s="99">
        <v>24.280838620000001</v>
      </c>
      <c r="Y66" s="99"/>
      <c r="Z66" s="99"/>
      <c r="AA66" s="99"/>
      <c r="AB66" s="99"/>
      <c r="AC66" s="99"/>
      <c r="AD66" s="99"/>
      <c r="AF66" t="s">
        <v>25</v>
      </c>
    </row>
    <row r="67" spans="1:32">
      <c r="A67" s="99" t="s">
        <v>5181</v>
      </c>
      <c r="B67" s="95">
        <v>3950000</v>
      </c>
      <c r="C67" s="95">
        <v>4070000</v>
      </c>
      <c r="D67" s="95">
        <v>11000</v>
      </c>
      <c r="E67" s="95">
        <v>11200</v>
      </c>
      <c r="I67" s="213"/>
      <c r="J67" s="113">
        <f t="shared" si="14"/>
        <v>17387769</v>
      </c>
      <c r="K67" s="213" t="s">
        <v>4728</v>
      </c>
      <c r="L67" s="84">
        <v>577849094</v>
      </c>
      <c r="M67" s="84"/>
      <c r="N67" s="213"/>
      <c r="O67" s="213"/>
      <c r="P67" s="213"/>
      <c r="Q67" s="84">
        <v>0</v>
      </c>
      <c r="X67" s="99"/>
      <c r="Y67" s="99"/>
      <c r="Z67" s="99"/>
      <c r="AA67" s="99"/>
      <c r="AB67" s="99"/>
      <c r="AC67" s="99" t="s">
        <v>25</v>
      </c>
      <c r="AD67" s="99"/>
    </row>
    <row r="68" spans="1:32">
      <c r="A68" s="99" t="s">
        <v>5185</v>
      </c>
      <c r="B68" s="95">
        <v>4050000</v>
      </c>
      <c r="C68" s="95">
        <v>4150000</v>
      </c>
      <c r="D68" s="95">
        <v>11150</v>
      </c>
      <c r="E68" s="95">
        <v>11350</v>
      </c>
      <c r="I68" s="213"/>
      <c r="J68" s="113">
        <f t="shared" si="14"/>
        <v>11024486</v>
      </c>
      <c r="K68" s="213" t="s">
        <v>4730</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4536</v>
      </c>
      <c r="AC68" s="99" t="s">
        <v>5049</v>
      </c>
      <c r="AD68" s="99" t="s">
        <v>5054</v>
      </c>
    </row>
    <row r="69" spans="1:32">
      <c r="A69" s="99" t="s">
        <v>5212</v>
      </c>
      <c r="B69" s="95">
        <v>4060000</v>
      </c>
      <c r="C69" s="95">
        <v>4160000</v>
      </c>
      <c r="D69" s="95">
        <v>11500</v>
      </c>
      <c r="E69" s="95">
        <v>11700</v>
      </c>
      <c r="I69" s="213"/>
      <c r="J69" s="113">
        <f t="shared" si="14"/>
        <v>-8942851</v>
      </c>
      <c r="K69" s="213" t="s">
        <v>4738</v>
      </c>
      <c r="L69" s="229">
        <v>579930729</v>
      </c>
      <c r="M69" s="84">
        <v>247714729</v>
      </c>
      <c r="N69" s="113">
        <f t="shared" ref="N69:N91" si="15">L69+M69</f>
        <v>827645458</v>
      </c>
      <c r="O69" s="113">
        <f t="shared" ref="O69:O88" si="16">M69-M68</f>
        <v>-2541194</v>
      </c>
      <c r="P69" s="113">
        <f t="shared" ref="P69:P88" si="17">N69-N68</f>
        <v>-11484045</v>
      </c>
      <c r="Q69" s="84">
        <v>0</v>
      </c>
      <c r="X69" s="99" t="s">
        <v>5041</v>
      </c>
      <c r="Y69" s="99">
        <v>5000</v>
      </c>
      <c r="Z69" s="99">
        <v>5077.8</v>
      </c>
      <c r="AA69" s="99">
        <v>211.3</v>
      </c>
      <c r="AB69" s="20">
        <f>Z69/AA69</f>
        <v>24.031235210601039</v>
      </c>
      <c r="AC69" s="99">
        <f>AB69/$X$66</f>
        <v>0.98972014874340608</v>
      </c>
      <c r="AD69" s="99">
        <f>AB69/1.03</f>
        <v>23.331296320971884</v>
      </c>
    </row>
    <row r="70" spans="1:32">
      <c r="A70" s="99" t="s">
        <v>5214</v>
      </c>
      <c r="B70" s="95">
        <v>4020000</v>
      </c>
      <c r="C70" s="95">
        <v>4120000</v>
      </c>
      <c r="D70" s="95">
        <v>11400</v>
      </c>
      <c r="E70" s="95">
        <v>11600</v>
      </c>
      <c r="I70" s="5" t="s">
        <v>4752</v>
      </c>
      <c r="J70" s="35">
        <f t="shared" si="14"/>
        <v>45893629</v>
      </c>
      <c r="K70" s="5" t="s">
        <v>4745</v>
      </c>
      <c r="L70" s="235">
        <v>625824358</v>
      </c>
      <c r="M70" s="235">
        <v>243028777</v>
      </c>
      <c r="N70" s="35">
        <f t="shared" si="15"/>
        <v>868853135</v>
      </c>
      <c r="O70" s="35">
        <f t="shared" si="16"/>
        <v>-4685952</v>
      </c>
      <c r="P70" s="35">
        <f>N70-N69-50000000</f>
        <v>-8792323</v>
      </c>
      <c r="Q70" s="84">
        <v>50000000</v>
      </c>
      <c r="W70" s="96"/>
      <c r="X70" s="99" t="s">
        <v>5045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5223</v>
      </c>
      <c r="B71" s="95">
        <v>3930000</v>
      </c>
      <c r="C71" s="95">
        <v>4030000</v>
      </c>
      <c r="D71" s="95">
        <v>11100</v>
      </c>
      <c r="E71" s="95">
        <v>11300</v>
      </c>
      <c r="I71" s="213"/>
      <c r="J71" s="113">
        <f t="shared" si="14"/>
        <v>3462014</v>
      </c>
      <c r="K71" s="213" t="s">
        <v>4753</v>
      </c>
      <c r="L71" s="84">
        <v>629286372</v>
      </c>
      <c r="M71" s="84">
        <v>246690884</v>
      </c>
      <c r="N71" s="113">
        <f t="shared" si="15"/>
        <v>875977256</v>
      </c>
      <c r="O71" s="113">
        <f t="shared" si="16"/>
        <v>3662107</v>
      </c>
      <c r="P71" s="113">
        <f t="shared" si="17"/>
        <v>7124121</v>
      </c>
      <c r="Q71" s="84">
        <v>0</v>
      </c>
      <c r="W71" s="96"/>
      <c r="X71" s="99" t="s">
        <v>5053</v>
      </c>
      <c r="Y71" s="99">
        <v>100</v>
      </c>
      <c r="Z71" s="99">
        <v>4980</v>
      </c>
      <c r="AA71" s="99">
        <v>205.1</v>
      </c>
      <c r="AB71" s="23">
        <f>Z71/AA71</f>
        <v>24.280838615309605</v>
      </c>
      <c r="AC71" s="99">
        <f t="shared" si="18"/>
        <v>0.9999999998068273</v>
      </c>
      <c r="AD71" s="99">
        <f t="shared" si="19"/>
        <v>23.57362972360156</v>
      </c>
    </row>
    <row r="72" spans="1:32">
      <c r="A72" s="99" t="s">
        <v>5229</v>
      </c>
      <c r="B72" s="95">
        <v>3950000</v>
      </c>
      <c r="C72" s="95">
        <v>4050000</v>
      </c>
      <c r="D72" s="95">
        <v>11200</v>
      </c>
      <c r="E72" s="95">
        <v>11300</v>
      </c>
      <c r="I72" s="213"/>
      <c r="J72" s="113">
        <f t="shared" si="14"/>
        <v>-2687296</v>
      </c>
      <c r="K72" s="213" t="s">
        <v>4766</v>
      </c>
      <c r="L72" s="84">
        <v>626599076</v>
      </c>
      <c r="M72" s="84">
        <v>244530128</v>
      </c>
      <c r="N72" s="113">
        <f t="shared" si="15"/>
        <v>871129204</v>
      </c>
      <c r="O72" s="113">
        <f t="shared" si="16"/>
        <v>-2160756</v>
      </c>
      <c r="P72" s="113">
        <f t="shared" si="17"/>
        <v>-4848052</v>
      </c>
      <c r="Q72" s="84">
        <v>0</v>
      </c>
      <c r="X72" s="99" t="s">
        <v>5057</v>
      </c>
      <c r="Y72" s="99">
        <v>9712</v>
      </c>
      <c r="Z72" s="99">
        <v>4936.3999999999996</v>
      </c>
      <c r="AA72" s="99">
        <v>203.6</v>
      </c>
      <c r="AB72" s="99">
        <f>Z72/AA72</f>
        <v>24.245579567779959</v>
      </c>
      <c r="AC72" s="99">
        <f t="shared" si="18"/>
        <v>0.99854786513876836</v>
      </c>
      <c r="AD72" s="99">
        <f t="shared" si="19"/>
        <v>23.53939763862132</v>
      </c>
    </row>
    <row r="73" spans="1:32">
      <c r="A73" s="99" t="s">
        <v>5230</v>
      </c>
      <c r="B73" s="95">
        <v>3970000</v>
      </c>
      <c r="C73" s="95">
        <v>4070000</v>
      </c>
      <c r="D73" s="95">
        <v>11250</v>
      </c>
      <c r="E73" s="95">
        <v>11400</v>
      </c>
      <c r="I73" s="213"/>
      <c r="J73" s="113">
        <f t="shared" si="14"/>
        <v>-6009466</v>
      </c>
      <c r="K73" s="213" t="s">
        <v>4770</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4771</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5232</v>
      </c>
      <c r="B75" s="95">
        <v>4020000</v>
      </c>
      <c r="C75" s="95">
        <v>4120000</v>
      </c>
      <c r="D75" s="95">
        <v>11350</v>
      </c>
      <c r="E75" s="95">
        <v>11500</v>
      </c>
      <c r="I75" s="213"/>
      <c r="J75" s="113">
        <f t="shared" si="14"/>
        <v>112274</v>
      </c>
      <c r="K75" s="213" t="s">
        <v>4780</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5237</v>
      </c>
      <c r="B76" s="95">
        <v>4000000</v>
      </c>
      <c r="C76" s="95">
        <v>4100000</v>
      </c>
      <c r="D76" s="95">
        <v>11250</v>
      </c>
      <c r="E76" s="95">
        <v>11400</v>
      </c>
      <c r="G76" t="s">
        <v>25</v>
      </c>
      <c r="I76" s="213"/>
      <c r="J76" s="113">
        <f t="shared" si="14"/>
        <v>6567221</v>
      </c>
      <c r="K76" s="213" t="s">
        <v>4783</v>
      </c>
      <c r="L76" s="84">
        <v>625996034</v>
      </c>
      <c r="M76" s="84">
        <v>242597875</v>
      </c>
      <c r="N76" s="113">
        <f t="shared" si="15"/>
        <v>868593909</v>
      </c>
      <c r="O76" s="113">
        <f t="shared" si="16"/>
        <v>537728</v>
      </c>
      <c r="P76" s="113">
        <f t="shared" si="17"/>
        <v>7104949</v>
      </c>
      <c r="Q76" s="84">
        <v>0</v>
      </c>
      <c r="W76" s="96"/>
      <c r="X76" s="99" t="s">
        <v>5100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5292</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5116</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5308</v>
      </c>
      <c r="B79" s="95">
        <v>3940000</v>
      </c>
      <c r="C79" s="95">
        <v>4020000</v>
      </c>
      <c r="D79" s="95">
        <v>11250</v>
      </c>
      <c r="E79" s="95">
        <v>11450</v>
      </c>
      <c r="I79" s="213"/>
      <c r="J79" s="113">
        <f t="shared" si="14"/>
        <v>6885870</v>
      </c>
      <c r="K79" s="213" t="s">
        <v>4806</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5313</v>
      </c>
      <c r="B80" s="95">
        <v>3940000</v>
      </c>
      <c r="C80" s="95">
        <v>4020000</v>
      </c>
      <c r="D80" s="95">
        <v>11250</v>
      </c>
      <c r="E80" s="95">
        <v>11450</v>
      </c>
      <c r="G80" t="s">
        <v>25</v>
      </c>
      <c r="I80" s="5" t="s">
        <v>4825</v>
      </c>
      <c r="J80" s="35">
        <f t="shared" si="14"/>
        <v>-1984018</v>
      </c>
      <c r="K80" s="5" t="s">
        <v>4808</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5314</v>
      </c>
      <c r="B81" s="95">
        <v>3940000</v>
      </c>
      <c r="C81" s="95">
        <v>4020000</v>
      </c>
      <c r="D81" s="95">
        <v>11300</v>
      </c>
      <c r="E81" s="95">
        <v>11450</v>
      </c>
      <c r="I81" s="213"/>
      <c r="J81" s="113">
        <f t="shared" si="14"/>
        <v>6117877</v>
      </c>
      <c r="K81" s="213" t="s">
        <v>4815</v>
      </c>
      <c r="L81" s="84">
        <v>647539370</v>
      </c>
      <c r="M81" s="84">
        <v>254691103</v>
      </c>
      <c r="N81" s="220">
        <f t="shared" si="15"/>
        <v>902230473</v>
      </c>
      <c r="O81" s="113">
        <f t="shared" si="16"/>
        <v>3826270</v>
      </c>
      <c r="P81" s="113">
        <f t="shared" si="17"/>
        <v>9944147</v>
      </c>
      <c r="Q81" s="84">
        <v>0</v>
      </c>
      <c r="X81" s="161" t="s">
        <v>5160</v>
      </c>
      <c r="Y81" s="161">
        <v>2000</v>
      </c>
      <c r="Z81" s="161">
        <v>747.2</v>
      </c>
      <c r="AA81" s="161">
        <v>242.8</v>
      </c>
      <c r="AB81" s="161">
        <f t="shared" si="20"/>
        <v>3.0774299835255357</v>
      </c>
      <c r="AC81" s="161">
        <f t="shared" si="21"/>
        <v>0.98282703687770245</v>
      </c>
      <c r="AD81" s="161"/>
      <c r="AE81" s="161">
        <v>6069</v>
      </c>
    </row>
    <row r="82" spans="1:31">
      <c r="A82" s="99" t="s">
        <v>5321</v>
      </c>
      <c r="B82" s="95">
        <v>3970000</v>
      </c>
      <c r="C82" s="95">
        <v>4030000</v>
      </c>
      <c r="D82" s="95">
        <v>11300</v>
      </c>
      <c r="E82" s="95">
        <v>11500</v>
      </c>
      <c r="I82" s="237" t="s">
        <v>4824</v>
      </c>
      <c r="J82" s="86">
        <f t="shared" si="14"/>
        <v>8860702</v>
      </c>
      <c r="K82" s="191" t="s">
        <v>4821</v>
      </c>
      <c r="L82" s="236">
        <v>656400072</v>
      </c>
      <c r="M82" s="236">
        <v>260846052</v>
      </c>
      <c r="N82" s="220">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t="s">
        <v>991</v>
      </c>
      <c r="B83" s="95">
        <v>3920000</v>
      </c>
      <c r="C83" s="95">
        <v>3990000</v>
      </c>
      <c r="D83" s="95">
        <v>11200</v>
      </c>
      <c r="E83" s="95">
        <v>11350</v>
      </c>
      <c r="I83" s="237" t="s">
        <v>4833</v>
      </c>
      <c r="J83" s="86">
        <f>L83-L82+31412200</f>
        <v>20439704</v>
      </c>
      <c r="K83" s="191" t="s">
        <v>4826</v>
      </c>
      <c r="L83" s="236">
        <v>645427576</v>
      </c>
      <c r="M83" s="236">
        <v>263837297</v>
      </c>
      <c r="N83" s="220">
        <f t="shared" si="15"/>
        <v>909264873</v>
      </c>
      <c r="O83" s="86">
        <f>M83-M82+2060725</f>
        <v>5051970</v>
      </c>
      <c r="P83" s="86">
        <f>N83-N82+2060725+31412200</f>
        <v>25491674</v>
      </c>
      <c r="Q83" s="84">
        <v>-33472925</v>
      </c>
      <c r="X83" s="271" t="s">
        <v>5181</v>
      </c>
      <c r="Y83" s="271">
        <v>2510</v>
      </c>
      <c r="Z83" s="271">
        <v>740</v>
      </c>
      <c r="AA83" s="271">
        <v>269.5</v>
      </c>
      <c r="AB83" s="271">
        <f>Z83/AA83</f>
        <v>2.74582560296846</v>
      </c>
      <c r="AC83" s="271">
        <f>AB83/$X$75</f>
        <v>0.87692381486996362</v>
      </c>
      <c r="AD83" s="271" t="s">
        <v>5169</v>
      </c>
      <c r="AE83" s="271">
        <v>7000</v>
      </c>
    </row>
    <row r="84" spans="1:31">
      <c r="A84" s="99" t="s">
        <v>4273</v>
      </c>
      <c r="B84" s="95">
        <v>3930000</v>
      </c>
      <c r="C84" s="95">
        <v>4000000</v>
      </c>
      <c r="D84" s="95">
        <v>11250</v>
      </c>
      <c r="E84" s="95">
        <v>11400</v>
      </c>
      <c r="F84" t="s">
        <v>25</v>
      </c>
      <c r="I84" s="189" t="s">
        <v>4834</v>
      </c>
      <c r="J84" s="188">
        <f t="shared" si="14"/>
        <v>21224293</v>
      </c>
      <c r="K84" s="189" t="s">
        <v>4835</v>
      </c>
      <c r="L84" s="238">
        <v>666651869</v>
      </c>
      <c r="M84" s="238">
        <v>303563891</v>
      </c>
      <c r="N84" s="220">
        <f t="shared" si="15"/>
        <v>970215760</v>
      </c>
      <c r="O84" s="188">
        <f>M84-M83-28000000</f>
        <v>11726594</v>
      </c>
      <c r="P84" s="188">
        <f>N84-N83-28000000</f>
        <v>32950887</v>
      </c>
      <c r="Q84" s="84">
        <v>28000000</v>
      </c>
      <c r="X84" s="271" t="s">
        <v>5185</v>
      </c>
      <c r="Y84" s="271">
        <v>1821</v>
      </c>
      <c r="Z84" s="271">
        <v>7506</v>
      </c>
      <c r="AA84" s="271">
        <v>2710</v>
      </c>
      <c r="AB84" s="271">
        <f>Z84/AA84</f>
        <v>2.7697416974169742</v>
      </c>
      <c r="AC84" s="271">
        <f>AB84/$X$75</f>
        <v>0.88456180642991866</v>
      </c>
      <c r="AD84" s="271" t="s">
        <v>5169</v>
      </c>
      <c r="AE84" s="271">
        <v>5122</v>
      </c>
    </row>
    <row r="85" spans="1:31">
      <c r="A85" s="99"/>
      <c r="B85" s="95"/>
      <c r="C85" s="95"/>
      <c r="D85" s="95"/>
      <c r="E85" s="95"/>
      <c r="G85" t="s">
        <v>25</v>
      </c>
      <c r="I85" s="213"/>
      <c r="J85" s="113">
        <f t="shared" si="14"/>
        <v>9478107</v>
      </c>
      <c r="K85" s="213" t="s">
        <v>980</v>
      </c>
      <c r="L85" s="84">
        <v>676129976</v>
      </c>
      <c r="M85" s="84">
        <v>302822379</v>
      </c>
      <c r="N85" s="220">
        <f t="shared" si="15"/>
        <v>978952355</v>
      </c>
      <c r="O85" s="113">
        <f t="shared" si="16"/>
        <v>-741512</v>
      </c>
      <c r="P85" s="113">
        <f t="shared" si="17"/>
        <v>8736595</v>
      </c>
      <c r="Q85" s="84">
        <v>0</v>
      </c>
      <c r="X85" s="161" t="s">
        <v>5218</v>
      </c>
      <c r="Y85" s="161">
        <v>697</v>
      </c>
      <c r="Z85" s="161">
        <v>778.5</v>
      </c>
      <c r="AA85" s="161">
        <v>275.10000000000002</v>
      </c>
      <c r="AB85" s="161">
        <f>Z85/AA85</f>
        <v>2.8298800436205016</v>
      </c>
      <c r="AC85" s="161">
        <f>AB85/$X$75</f>
        <v>0.90376795991459558</v>
      </c>
      <c r="AD85" s="161" t="s">
        <v>5169</v>
      </c>
      <c r="AE85" s="161">
        <v>2000</v>
      </c>
    </row>
    <row r="86" spans="1:31">
      <c r="A86" s="99"/>
      <c r="B86" s="95"/>
      <c r="C86" s="95"/>
      <c r="D86" s="95"/>
      <c r="E86" s="95"/>
      <c r="I86" s="213"/>
      <c r="J86" s="113">
        <f t="shared" si="14"/>
        <v>-8249999</v>
      </c>
      <c r="K86" s="213" t="s">
        <v>4841</v>
      </c>
      <c r="L86" s="84">
        <v>667879977</v>
      </c>
      <c r="M86" s="84">
        <v>298414541</v>
      </c>
      <c r="N86" s="113">
        <f t="shared" si="15"/>
        <v>966294518</v>
      </c>
      <c r="O86" s="113">
        <f t="shared" si="16"/>
        <v>-4407838</v>
      </c>
      <c r="P86" s="113">
        <f t="shared" si="17"/>
        <v>-12657837</v>
      </c>
      <c r="Q86" s="84">
        <v>0</v>
      </c>
      <c r="X86" s="161" t="s">
        <v>5219</v>
      </c>
      <c r="Y86" s="161">
        <v>572</v>
      </c>
      <c r="Z86" s="161">
        <v>7914</v>
      </c>
      <c r="AA86" s="161">
        <v>2845</v>
      </c>
      <c r="AB86" s="161">
        <f t="shared" ref="AB86:AB97" si="22">Z86/AA86</f>
        <v>2.7817223198594023</v>
      </c>
      <c r="AC86" s="161">
        <f t="shared" ref="AC86:AC97" si="23">AB86/$X$75</f>
        <v>0.88838801197093076</v>
      </c>
      <c r="AD86" s="161" t="s">
        <v>5169</v>
      </c>
      <c r="AE86" s="161">
        <v>1614</v>
      </c>
    </row>
    <row r="87" spans="1:31">
      <c r="A87" s="99"/>
      <c r="B87" s="95"/>
      <c r="C87" s="95"/>
      <c r="D87" s="95"/>
      <c r="E87" s="95"/>
      <c r="I87" s="239" t="s">
        <v>4852</v>
      </c>
      <c r="J87" s="196">
        <f>L87-L86-20000</f>
        <v>7878257</v>
      </c>
      <c r="K87" s="190" t="s">
        <v>4842</v>
      </c>
      <c r="L87" s="240">
        <v>675778234</v>
      </c>
      <c r="M87" s="240">
        <v>302388050</v>
      </c>
      <c r="N87" s="196">
        <f>L87+M87</f>
        <v>978166284</v>
      </c>
      <c r="O87" s="196">
        <f>M87-M86-850000</f>
        <v>3123509</v>
      </c>
      <c r="P87" s="196">
        <f>N87-N86-870000</f>
        <v>11001766</v>
      </c>
      <c r="Q87" s="84">
        <v>870000</v>
      </c>
      <c r="X87" s="152" t="s">
        <v>5148</v>
      </c>
      <c r="Y87" s="152">
        <v>3676</v>
      </c>
      <c r="Z87" s="161">
        <v>782.4</v>
      </c>
      <c r="AA87" s="152">
        <v>291.5</v>
      </c>
      <c r="AB87" s="152">
        <f t="shared" si="22"/>
        <v>2.6840480274442537</v>
      </c>
      <c r="AC87" s="152">
        <f t="shared" si="23"/>
        <v>0.8571941469902784</v>
      </c>
      <c r="AD87" s="152" t="s">
        <v>5169</v>
      </c>
      <c r="AE87" s="152">
        <v>10000</v>
      </c>
    </row>
    <row r="88" spans="1:31">
      <c r="I88" s="213" t="s">
        <v>25</v>
      </c>
      <c r="J88" s="113">
        <f t="shared" si="14"/>
        <v>17031996</v>
      </c>
      <c r="K88" s="213" t="s">
        <v>4854</v>
      </c>
      <c r="L88" s="84">
        <v>692810230</v>
      </c>
      <c r="M88" s="84">
        <v>311823171</v>
      </c>
      <c r="N88" s="220">
        <f t="shared" si="15"/>
        <v>1004633401</v>
      </c>
      <c r="O88" s="113">
        <f t="shared" si="16"/>
        <v>9435121</v>
      </c>
      <c r="P88" s="113">
        <f t="shared" si="17"/>
        <v>26467117</v>
      </c>
      <c r="Q88" s="84">
        <v>0</v>
      </c>
      <c r="X88" s="276" t="s">
        <v>5230</v>
      </c>
      <c r="Y88" s="276">
        <v>371</v>
      </c>
      <c r="Z88" s="276">
        <v>7620</v>
      </c>
      <c r="AA88" s="276">
        <v>2868</v>
      </c>
      <c r="AB88" s="276">
        <f t="shared" si="22"/>
        <v>2.6569037656903767</v>
      </c>
      <c r="AC88" s="276">
        <f t="shared" si="23"/>
        <v>0.84852518799182441</v>
      </c>
      <c r="AD88" s="276" t="s">
        <v>5169</v>
      </c>
      <c r="AE88" s="276">
        <v>1000</v>
      </c>
    </row>
    <row r="89" spans="1:31">
      <c r="I89" s="213"/>
      <c r="J89" s="113">
        <f>L89-L88</f>
        <v>-12175091</v>
      </c>
      <c r="K89" s="213" t="s">
        <v>4855</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5169</v>
      </c>
      <c r="AE89" s="276">
        <v>2000</v>
      </c>
    </row>
    <row r="90" spans="1:31">
      <c r="D90" s="114">
        <f>B83-B28+L19</f>
        <v>4231628</v>
      </c>
      <c r="I90" s="190" t="s">
        <v>4880</v>
      </c>
      <c r="J90" s="196">
        <f>L90-L89-1000000</f>
        <v>3840350</v>
      </c>
      <c r="K90" s="190" t="s">
        <v>4862</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B91" t="s">
        <v>25</v>
      </c>
      <c r="I91" s="213"/>
      <c r="J91" s="113">
        <f t="shared" ref="J91:J141" si="29">L91-L90</f>
        <v>-12127865</v>
      </c>
      <c r="K91" s="213" t="s">
        <v>4863</v>
      </c>
      <c r="L91" s="84">
        <v>673347624</v>
      </c>
      <c r="M91" s="84">
        <v>308820785</v>
      </c>
      <c r="N91" s="113">
        <f t="shared" si="15"/>
        <v>982168409</v>
      </c>
      <c r="O91" s="113">
        <f t="shared" si="26"/>
        <v>-3210175</v>
      </c>
      <c r="P91" s="113">
        <f t="shared" ref="P91" si="30">N91-N90</f>
        <v>-15338040</v>
      </c>
      <c r="Q91" s="84">
        <v>0</v>
      </c>
      <c r="X91" s="87" t="s">
        <v>5242</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4871</v>
      </c>
      <c r="L92" s="84">
        <v>685113138</v>
      </c>
      <c r="M92" s="84">
        <v>311743933</v>
      </c>
      <c r="N92" s="113">
        <f t="shared" ref="N92:N97" si="31">L92+M92</f>
        <v>996857071</v>
      </c>
      <c r="O92" s="113">
        <f t="shared" ref="O92:O97" si="32">M92-M91</f>
        <v>2923148</v>
      </c>
      <c r="P92" s="113">
        <f t="shared" ref="P92:P97" si="33">N92-N91</f>
        <v>14688662</v>
      </c>
      <c r="Q92" s="84">
        <v>0</v>
      </c>
      <c r="X92" s="87" t="s">
        <v>5287</v>
      </c>
      <c r="Y92" s="87">
        <v>2000</v>
      </c>
      <c r="Z92" s="87">
        <v>8125</v>
      </c>
      <c r="AA92" s="87">
        <v>3039</v>
      </c>
      <c r="AB92" s="87">
        <f t="shared" ref="AB92" si="34">Z92/AA92</f>
        <v>2.6735768344850279</v>
      </c>
      <c r="AC92" s="87">
        <f t="shared" ref="AC92" si="35">AB92/$X$75</f>
        <v>0.85385000216690843</v>
      </c>
      <c r="AD92" s="87" t="s">
        <v>5169</v>
      </c>
      <c r="AE92" s="87">
        <v>5424</v>
      </c>
    </row>
    <row r="93" spans="1:31">
      <c r="D93" t="s">
        <v>25</v>
      </c>
      <c r="E93" t="s">
        <v>25</v>
      </c>
      <c r="I93" s="213"/>
      <c r="J93" s="113">
        <f t="shared" si="29"/>
        <v>2886862</v>
      </c>
      <c r="K93" s="213" t="s">
        <v>4872</v>
      </c>
      <c r="L93" s="84">
        <v>688000000</v>
      </c>
      <c r="M93" s="84">
        <v>312500000</v>
      </c>
      <c r="N93" s="113">
        <f t="shared" si="31"/>
        <v>1000500000</v>
      </c>
      <c r="O93" s="113">
        <f t="shared" si="32"/>
        <v>756067</v>
      </c>
      <c r="P93" s="113">
        <f t="shared" si="33"/>
        <v>3642929</v>
      </c>
      <c r="Q93" s="84">
        <v>0</v>
      </c>
      <c r="X93" s="20"/>
      <c r="Y93" s="20"/>
      <c r="Z93" s="20">
        <v>7859</v>
      </c>
      <c r="AA93" s="20">
        <v>3046</v>
      </c>
      <c r="AB93" s="20">
        <f t="shared" ref="AB93" si="36">Z93/AA93</f>
        <v>2.5801050558108996</v>
      </c>
      <c r="AC93" s="20">
        <f t="shared" ref="AC93" si="37">AB93/$X$75</f>
        <v>0.82399827791720226</v>
      </c>
      <c r="AD93" s="20"/>
      <c r="AE93" s="20"/>
    </row>
    <row r="94" spans="1:31">
      <c r="I94" s="213"/>
      <c r="J94" s="113">
        <f t="shared" si="29"/>
        <v>10450869</v>
      </c>
      <c r="K94" s="213" t="s">
        <v>4873</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4879</v>
      </c>
      <c r="J95" s="196">
        <f>L95-L94-2520000</f>
        <v>-274657</v>
      </c>
      <c r="K95" s="190" t="s">
        <v>4876</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4881</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4882</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4884</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4885</v>
      </c>
      <c r="L99" s="84">
        <v>704300034</v>
      </c>
      <c r="M99" s="84">
        <v>315795916</v>
      </c>
      <c r="N99" s="113">
        <f t="shared" si="38"/>
        <v>1020095950</v>
      </c>
      <c r="O99" s="113">
        <f t="shared" si="39"/>
        <v>972544</v>
      </c>
      <c r="P99" s="113">
        <f t="shared" si="40"/>
        <v>7258543</v>
      </c>
      <c r="Q99" s="84">
        <v>0</v>
      </c>
      <c r="AA99" s="96"/>
      <c r="AB99" s="275">
        <f>AB93/AB80</f>
        <v>0.84120297829836832</v>
      </c>
      <c r="AC99" s="96" t="s">
        <v>25</v>
      </c>
      <c r="AD99" s="96" t="s">
        <v>25</v>
      </c>
    </row>
    <row r="100" spans="9:32">
      <c r="I100" s="213"/>
      <c r="J100" s="113">
        <f t="shared" si="29"/>
        <v>17278812</v>
      </c>
      <c r="K100" s="213" t="s">
        <v>4887</v>
      </c>
      <c r="L100" s="84">
        <v>721578846</v>
      </c>
      <c r="M100" s="84">
        <v>322263065</v>
      </c>
      <c r="N100" s="220">
        <f t="shared" si="38"/>
        <v>1043841911</v>
      </c>
      <c r="O100" s="113">
        <f t="shared" si="39"/>
        <v>6467149</v>
      </c>
      <c r="P100" s="113">
        <f t="shared" si="40"/>
        <v>23745961</v>
      </c>
      <c r="Q100" s="84">
        <v>0</v>
      </c>
      <c r="AA100" s="96"/>
      <c r="AB100" s="275">
        <f>AB80/AB93</f>
        <v>1.1887737273860526</v>
      </c>
      <c r="AC100" s="96"/>
      <c r="AD100" s="96" t="s">
        <v>25</v>
      </c>
    </row>
    <row r="101" spans="9:32">
      <c r="I101" s="213"/>
      <c r="J101" s="113">
        <f t="shared" si="29"/>
        <v>287745</v>
      </c>
      <c r="K101" s="213" t="s">
        <v>4888</v>
      </c>
      <c r="L101" s="84">
        <v>721866591</v>
      </c>
      <c r="M101" s="84">
        <v>321203407</v>
      </c>
      <c r="N101" s="113">
        <f t="shared" si="38"/>
        <v>1043069998</v>
      </c>
      <c r="O101" s="113">
        <f t="shared" si="39"/>
        <v>-1059658</v>
      </c>
      <c r="P101" s="113">
        <f t="shared" si="40"/>
        <v>-771913</v>
      </c>
      <c r="Q101" s="84">
        <v>0</v>
      </c>
      <c r="X101" s="96"/>
      <c r="Y101" s="96"/>
      <c r="Z101" s="96"/>
      <c r="AA101" s="96"/>
      <c r="AB101" s="9">
        <f>AB89/AB93</f>
        <v>1.0172100346128199</v>
      </c>
      <c r="AC101" s="96"/>
      <c r="AD101" s="96"/>
      <c r="AE101" t="s">
        <v>25</v>
      </c>
    </row>
    <row r="102" spans="9:32">
      <c r="I102" s="213"/>
      <c r="J102" s="113">
        <f t="shared" si="29"/>
        <v>-5866591</v>
      </c>
      <c r="K102" s="213" t="s">
        <v>4891</v>
      </c>
      <c r="L102" s="84">
        <v>716000000</v>
      </c>
      <c r="M102" s="84">
        <v>319000000</v>
      </c>
      <c r="N102" s="113">
        <f t="shared" si="38"/>
        <v>1035000000</v>
      </c>
      <c r="O102" s="113">
        <f t="shared" si="39"/>
        <v>-2203407</v>
      </c>
      <c r="P102" s="113">
        <f t="shared" si="40"/>
        <v>-8069998</v>
      </c>
      <c r="Q102" s="84">
        <v>0</v>
      </c>
      <c r="AB102" s="96">
        <f>AB92/AB93</f>
        <v>1.0362278964043001</v>
      </c>
      <c r="AC102" s="96"/>
      <c r="AD102" s="96" t="s">
        <v>25</v>
      </c>
      <c r="AE102" t="s">
        <v>25</v>
      </c>
    </row>
    <row r="103" spans="9:32">
      <c r="I103" s="213"/>
      <c r="J103" s="113">
        <f t="shared" si="29"/>
        <v>288384</v>
      </c>
      <c r="K103" s="213" t="s">
        <v>4890</v>
      </c>
      <c r="L103" s="84">
        <v>716288384</v>
      </c>
      <c r="M103" s="84">
        <v>320388494</v>
      </c>
      <c r="N103" s="113">
        <f t="shared" si="38"/>
        <v>1036676878</v>
      </c>
      <c r="O103" s="113">
        <f t="shared" si="39"/>
        <v>1388494</v>
      </c>
      <c r="P103" s="113">
        <f t="shared" si="40"/>
        <v>1676878</v>
      </c>
      <c r="Q103" s="84">
        <v>0</v>
      </c>
      <c r="AB103" s="96">
        <f>1/AB102</f>
        <v>0.96503867872114757</v>
      </c>
      <c r="AC103" s="96"/>
      <c r="AD103" s="96" t="s">
        <v>25</v>
      </c>
    </row>
    <row r="104" spans="9:32">
      <c r="I104" s="190" t="s">
        <v>4935</v>
      </c>
      <c r="J104" s="196">
        <f>L104-L103-1400000</f>
        <v>-1688384</v>
      </c>
      <c r="K104" s="190" t="s">
        <v>4932</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4934</v>
      </c>
      <c r="L105" s="84">
        <v>724529471</v>
      </c>
      <c r="M105" s="84">
        <v>326836192</v>
      </c>
      <c r="N105" s="220">
        <f t="shared" si="38"/>
        <v>1051365663</v>
      </c>
      <c r="O105" s="113">
        <f t="shared" si="39"/>
        <v>4836192</v>
      </c>
      <c r="P105" s="113">
        <f t="shared" si="40"/>
        <v>13365663</v>
      </c>
      <c r="Q105" s="84">
        <v>0</v>
      </c>
      <c r="X105" s="96"/>
      <c r="Y105" s="96"/>
      <c r="Z105" s="96" t="s">
        <v>4634</v>
      </c>
      <c r="AA105" s="96"/>
    </row>
    <row r="106" spans="9:32">
      <c r="I106" s="189" t="s">
        <v>4937</v>
      </c>
      <c r="J106" s="188">
        <f>L106-L105-1550000</f>
        <v>16319322</v>
      </c>
      <c r="K106" s="189" t="s">
        <v>4936</v>
      </c>
      <c r="L106" s="238">
        <v>742398793</v>
      </c>
      <c r="M106" s="238">
        <v>333388204</v>
      </c>
      <c r="N106" s="220">
        <f t="shared" si="38"/>
        <v>1075786997</v>
      </c>
      <c r="O106" s="188">
        <f>M106-M105-1550000</f>
        <v>5002012</v>
      </c>
      <c r="P106" s="188">
        <f>N106-N105-3100000</f>
        <v>21321334</v>
      </c>
      <c r="Q106" s="84">
        <v>3100000</v>
      </c>
      <c r="X106" s="96"/>
      <c r="Y106" s="96"/>
      <c r="Z106" s="96" t="s">
        <v>4635</v>
      </c>
      <c r="AA106" s="207">
        <v>35441</v>
      </c>
    </row>
    <row r="107" spans="9:32" ht="90">
      <c r="I107" s="213"/>
      <c r="J107" s="113">
        <f t="shared" si="29"/>
        <v>7585832</v>
      </c>
      <c r="K107" s="213" t="s">
        <v>4938</v>
      </c>
      <c r="L107" s="84">
        <v>749984625</v>
      </c>
      <c r="M107" s="84">
        <v>336802679</v>
      </c>
      <c r="N107" s="220">
        <f t="shared" si="38"/>
        <v>1086787304</v>
      </c>
      <c r="O107" s="113">
        <f t="shared" si="39"/>
        <v>3414475</v>
      </c>
      <c r="P107" s="113">
        <f t="shared" si="40"/>
        <v>11000307</v>
      </c>
      <c r="Q107" s="84">
        <v>0</v>
      </c>
      <c r="X107" s="22" t="s">
        <v>4638</v>
      </c>
      <c r="Y107" s="22" t="s">
        <v>4637</v>
      </c>
      <c r="Z107" s="22" t="s">
        <v>4636</v>
      </c>
      <c r="AA107" s="22" t="s">
        <v>4639</v>
      </c>
    </row>
    <row r="108" spans="9:32">
      <c r="I108" s="189" t="s">
        <v>4941</v>
      </c>
      <c r="J108" s="188">
        <f>L108-L107-250000</f>
        <v>9825827</v>
      </c>
      <c r="K108" s="189" t="s">
        <v>4883</v>
      </c>
      <c r="L108" s="238">
        <v>760060452</v>
      </c>
      <c r="M108" s="238">
        <v>342834562</v>
      </c>
      <c r="N108" s="220">
        <f t="shared" si="38"/>
        <v>1102895014</v>
      </c>
      <c r="O108" s="188">
        <f t="shared" si="39"/>
        <v>6031883</v>
      </c>
      <c r="P108" s="188">
        <f>N108-N107-250000</f>
        <v>15857710</v>
      </c>
      <c r="Q108" s="84">
        <v>250000</v>
      </c>
    </row>
    <row r="109" spans="9:32">
      <c r="I109" s="213"/>
      <c r="J109" s="113">
        <f t="shared" si="29"/>
        <v>4204925</v>
      </c>
      <c r="K109" s="213" t="s">
        <v>4942</v>
      </c>
      <c r="L109" s="84">
        <v>764265377</v>
      </c>
      <c r="M109" s="84">
        <v>346850621</v>
      </c>
      <c r="N109" s="220">
        <f t="shared" si="38"/>
        <v>1111115998</v>
      </c>
      <c r="O109" s="113">
        <f t="shared" si="39"/>
        <v>4016059</v>
      </c>
      <c r="P109" s="113">
        <f t="shared" si="40"/>
        <v>8220984</v>
      </c>
      <c r="Q109" s="84">
        <v>0</v>
      </c>
    </row>
    <row r="110" spans="9:32" ht="30">
      <c r="I110" s="247" t="s">
        <v>4949</v>
      </c>
      <c r="J110" s="248">
        <f>L110-L109+48527480</f>
        <v>-4646184</v>
      </c>
      <c r="K110" s="216" t="s">
        <v>4946</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4957</v>
      </c>
      <c r="J112" s="188">
        <f t="shared" si="29"/>
        <v>-11559770</v>
      </c>
      <c r="K112" s="189" t="s">
        <v>4952</v>
      </c>
      <c r="L112" s="238">
        <v>711658379</v>
      </c>
      <c r="M112" s="238">
        <v>375825031</v>
      </c>
      <c r="N112" s="188">
        <f t="shared" si="41"/>
        <v>1087483410</v>
      </c>
      <c r="O112" s="188">
        <f>M112-M111-400000</f>
        <v>-2767121</v>
      </c>
      <c r="P112" s="188">
        <f>N112-N111-400000</f>
        <v>-14326891</v>
      </c>
      <c r="Q112" s="84">
        <v>400000</v>
      </c>
      <c r="T112" t="s">
        <v>25</v>
      </c>
    </row>
    <row r="113" spans="9:19">
      <c r="I113" s="213" t="s">
        <v>4960</v>
      </c>
      <c r="J113" s="113">
        <f t="shared" si="29"/>
        <v>-47970668</v>
      </c>
      <c r="K113" s="213" t="s">
        <v>4959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4963</v>
      </c>
      <c r="L115" s="84">
        <v>673546379</v>
      </c>
      <c r="M115" s="84">
        <v>385390359</v>
      </c>
      <c r="N115" s="113">
        <f t="shared" si="41"/>
        <v>1058936738</v>
      </c>
      <c r="O115" s="113">
        <f t="shared" si="42"/>
        <v>4912397</v>
      </c>
      <c r="P115" s="113">
        <f t="shared" si="43"/>
        <v>5263899</v>
      </c>
      <c r="Q115" s="84">
        <v>0</v>
      </c>
    </row>
    <row r="116" spans="9:19">
      <c r="I116" s="189" t="s">
        <v>4966</v>
      </c>
      <c r="J116" s="188">
        <f t="shared" si="29"/>
        <v>-3653734</v>
      </c>
      <c r="K116" s="189" t="s">
        <v>4964</v>
      </c>
      <c r="L116" s="238">
        <v>669892645</v>
      </c>
      <c r="M116" s="238">
        <v>383350206</v>
      </c>
      <c r="N116" s="188">
        <f>L116+M116</f>
        <v>1053242851</v>
      </c>
      <c r="O116" s="188">
        <f>M116-M115-2000000</f>
        <v>-4040153</v>
      </c>
      <c r="P116" s="188">
        <f>N116-N115-2000000</f>
        <v>-7693887</v>
      </c>
      <c r="Q116" s="84">
        <v>2000000</v>
      </c>
    </row>
    <row r="117" spans="9:19">
      <c r="I117" s="189" t="s">
        <v>4969</v>
      </c>
      <c r="J117" s="188">
        <f t="shared" si="29"/>
        <v>-492645</v>
      </c>
      <c r="K117" s="189" t="s">
        <v>4967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4971</v>
      </c>
      <c r="L119" s="84">
        <v>685000000</v>
      </c>
      <c r="M119" s="84">
        <v>395000000</v>
      </c>
      <c r="N119" s="113">
        <f t="shared" si="41"/>
        <v>1080000000</v>
      </c>
      <c r="O119" s="113">
        <f t="shared" si="42"/>
        <v>2295548</v>
      </c>
      <c r="P119" s="113">
        <f t="shared" si="43"/>
        <v>10130487</v>
      </c>
      <c r="Q119" s="84">
        <v>0</v>
      </c>
    </row>
    <row r="120" spans="9:19">
      <c r="I120" s="189" t="s">
        <v>4975</v>
      </c>
      <c r="J120" s="188">
        <f>L120-L119-2100000</f>
        <v>2603523</v>
      </c>
      <c r="K120" s="189" t="s">
        <v>4973</v>
      </c>
      <c r="L120" s="238">
        <v>689703523</v>
      </c>
      <c r="M120" s="238">
        <v>399879880</v>
      </c>
      <c r="N120" s="188">
        <f t="shared" si="41"/>
        <v>1089583403</v>
      </c>
      <c r="O120" s="188">
        <f t="shared" si="42"/>
        <v>4879880</v>
      </c>
      <c r="P120" s="188">
        <f>N120-N119-2100000</f>
        <v>7483403</v>
      </c>
      <c r="Q120" s="84">
        <v>2100000</v>
      </c>
    </row>
    <row r="121" spans="9:19">
      <c r="I121" s="189" t="s">
        <v>4980</v>
      </c>
      <c r="J121" s="188">
        <f>L121-L120-100000</f>
        <v>1223636</v>
      </c>
      <c r="K121" s="189" t="s">
        <v>4978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4982</v>
      </c>
      <c r="L122" s="84">
        <v>687768941</v>
      </c>
      <c r="M122" s="84">
        <v>400952125</v>
      </c>
      <c r="N122" s="113">
        <f t="shared" si="41"/>
        <v>1088721066</v>
      </c>
      <c r="O122" s="113">
        <f t="shared" si="42"/>
        <v>-968588</v>
      </c>
      <c r="P122" s="113">
        <f t="shared" si="43"/>
        <v>-4226806</v>
      </c>
      <c r="Q122" s="229">
        <v>0</v>
      </c>
    </row>
    <row r="123" spans="9:19">
      <c r="I123" s="189" t="s">
        <v>4988</v>
      </c>
      <c r="J123" s="188">
        <f>L123-L122-115000</f>
        <v>-1004989</v>
      </c>
      <c r="K123" s="189" t="s">
        <v>4984</v>
      </c>
      <c r="L123" s="238">
        <v>686878952</v>
      </c>
      <c r="M123" s="238">
        <v>402566982</v>
      </c>
      <c r="N123" s="188">
        <f>L123+M123</f>
        <v>1089445934</v>
      </c>
      <c r="O123" s="188">
        <f>M123-M122-115000</f>
        <v>1499857</v>
      </c>
      <c r="P123" s="188">
        <f>N123-N122-230000</f>
        <v>494868</v>
      </c>
      <c r="Q123" s="229">
        <v>230000</v>
      </c>
    </row>
    <row r="124" spans="9:19">
      <c r="I124" s="189" t="s">
        <v>4992</v>
      </c>
      <c r="J124" s="188">
        <f>L124-L123-900000</f>
        <v>16455514</v>
      </c>
      <c r="K124" s="189" t="s">
        <v>4990</v>
      </c>
      <c r="L124" s="238">
        <v>704234466</v>
      </c>
      <c r="M124" s="238">
        <v>413359717</v>
      </c>
      <c r="N124" s="220">
        <f t="shared" ref="N124:N145" si="44">L124+M124</f>
        <v>1117594183</v>
      </c>
      <c r="O124" s="188">
        <f t="shared" si="42"/>
        <v>10792735</v>
      </c>
      <c r="P124" s="188">
        <f>N124-N123-900000</f>
        <v>27248249</v>
      </c>
      <c r="Q124" s="229">
        <v>900000</v>
      </c>
    </row>
    <row r="125" spans="9:19">
      <c r="I125" s="189" t="s">
        <v>4996</v>
      </c>
      <c r="J125" s="188">
        <f>L125-L124-241774</f>
        <v>7847987</v>
      </c>
      <c r="K125" s="189" t="s">
        <v>4993</v>
      </c>
      <c r="L125" s="238">
        <v>712324227</v>
      </c>
      <c r="M125" s="238">
        <v>416450606</v>
      </c>
      <c r="N125" s="220">
        <f>L125+M125</f>
        <v>1128774833</v>
      </c>
      <c r="O125" s="188">
        <f>M125-M124-50000</f>
        <v>3040889</v>
      </c>
      <c r="P125" s="188">
        <f>N125-N124-291774</f>
        <v>10888876</v>
      </c>
      <c r="Q125" s="229">
        <v>291774</v>
      </c>
    </row>
    <row r="126" spans="9:19">
      <c r="I126" s="189" t="s">
        <v>5006</v>
      </c>
      <c r="J126" s="188">
        <f>L126-L125-5701774</f>
        <v>-18426154</v>
      </c>
      <c r="K126" s="189" t="s">
        <v>5004</v>
      </c>
      <c r="L126" s="238">
        <v>699599847</v>
      </c>
      <c r="M126" s="238">
        <v>407446033</v>
      </c>
      <c r="N126" s="188">
        <f t="shared" si="44"/>
        <v>1107045880</v>
      </c>
      <c r="O126" s="188">
        <f>M126-M125-50000</f>
        <v>-9054573</v>
      </c>
      <c r="P126" s="188">
        <f>N126-N125-5751774</f>
        <v>-27480727</v>
      </c>
      <c r="Q126" s="229">
        <v>5751774</v>
      </c>
    </row>
    <row r="127" spans="9:19">
      <c r="I127" s="250" t="s">
        <v>5012</v>
      </c>
      <c r="J127" s="251">
        <f t="shared" si="29"/>
        <v>9831878</v>
      </c>
      <c r="K127" s="250" t="s">
        <v>5007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5014</v>
      </c>
      <c r="L129" s="254">
        <v>716306417</v>
      </c>
      <c r="M129" s="254">
        <v>419768145</v>
      </c>
      <c r="N129" s="220">
        <f>L129+M129</f>
        <v>1136074562</v>
      </c>
      <c r="O129" s="117">
        <f>M129-M128</f>
        <v>2907177</v>
      </c>
      <c r="P129" s="117">
        <f>N129-N128</f>
        <v>6569162</v>
      </c>
      <c r="Q129" s="229">
        <v>0</v>
      </c>
    </row>
    <row r="130" spans="9:19">
      <c r="I130" s="189" t="s">
        <v>5022</v>
      </c>
      <c r="J130" s="188">
        <f t="shared" si="29"/>
        <v>-9284823</v>
      </c>
      <c r="K130" s="189" t="s">
        <v>5017</v>
      </c>
      <c r="L130" s="238">
        <v>707021594</v>
      </c>
      <c r="M130" s="238">
        <v>420305454</v>
      </c>
      <c r="N130" s="188">
        <f t="shared" si="44"/>
        <v>1127327048</v>
      </c>
      <c r="O130" s="188">
        <f>M130-M129-6800000</f>
        <v>-6262691</v>
      </c>
      <c r="P130" s="188">
        <f>N130-N129-6800000</f>
        <v>-15547514</v>
      </c>
      <c r="Q130" s="229">
        <v>6800000</v>
      </c>
      <c r="S130" t="s">
        <v>25</v>
      </c>
    </row>
    <row r="131" spans="9:19">
      <c r="I131" s="189" t="s">
        <v>5030</v>
      </c>
      <c r="J131" s="188">
        <f t="shared" si="29"/>
        <v>2112595</v>
      </c>
      <c r="K131" s="189" t="s">
        <v>5023</v>
      </c>
      <c r="L131" s="238">
        <v>709134189</v>
      </c>
      <c r="M131" s="238">
        <v>421097153</v>
      </c>
      <c r="N131" s="188">
        <f t="shared" si="44"/>
        <v>1130231342</v>
      </c>
      <c r="O131" s="188">
        <f>M131-M130-500000</f>
        <v>291699</v>
      </c>
      <c r="P131" s="188">
        <f>N131-N130-500000</f>
        <v>2404294</v>
      </c>
      <c r="Q131" s="229">
        <v>500000</v>
      </c>
      <c r="S131" t="s">
        <v>25</v>
      </c>
    </row>
    <row r="132" spans="9:19">
      <c r="I132" s="250" t="s">
        <v>5034</v>
      </c>
      <c r="J132" s="251">
        <f t="shared" si="29"/>
        <v>1064287</v>
      </c>
      <c r="K132" s="250" t="s">
        <v>5031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5039</v>
      </c>
      <c r="L134" s="84">
        <v>744280570</v>
      </c>
      <c r="M134" s="84">
        <v>440002399</v>
      </c>
      <c r="N134" s="220">
        <f t="shared" si="44"/>
        <v>1184282969</v>
      </c>
      <c r="O134" s="113">
        <f t="shared" si="42"/>
        <v>10396274</v>
      </c>
      <c r="P134" s="113">
        <f t="shared" si="43"/>
        <v>31854556</v>
      </c>
      <c r="Q134" s="229">
        <v>0</v>
      </c>
    </row>
    <row r="135" spans="9:19">
      <c r="I135" s="189" t="s">
        <v>5061</v>
      </c>
      <c r="J135" s="188">
        <f>L135-L134-1130250</f>
        <v>-410820</v>
      </c>
      <c r="K135" s="189" t="s">
        <v>5041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5057</v>
      </c>
      <c r="L138" s="84">
        <v>736327754</v>
      </c>
      <c r="M138" s="84">
        <v>439057094</v>
      </c>
      <c r="N138" s="113">
        <f t="shared" si="44"/>
        <v>1175384848</v>
      </c>
      <c r="O138" s="113">
        <f t="shared" si="42"/>
        <v>5516545</v>
      </c>
      <c r="P138" s="113">
        <f t="shared" si="43"/>
        <v>9638954</v>
      </c>
      <c r="Q138" s="229">
        <v>0</v>
      </c>
    </row>
    <row r="139" spans="9:19">
      <c r="I139" s="189" t="s">
        <v>5060</v>
      </c>
      <c r="J139" s="188">
        <f>L139-L138-206000</f>
        <v>15013287</v>
      </c>
      <c r="K139" s="189" t="s">
        <v>5059</v>
      </c>
      <c r="L139" s="238">
        <v>751547041</v>
      </c>
      <c r="M139" s="238">
        <v>448656068</v>
      </c>
      <c r="N139" s="220">
        <f t="shared" si="44"/>
        <v>1200203109</v>
      </c>
      <c r="O139" s="188">
        <f>M139-M138-206000</f>
        <v>9392974</v>
      </c>
      <c r="P139" s="188">
        <f>N139-N138-412000</f>
        <v>24406261</v>
      </c>
      <c r="Q139" s="229">
        <v>412000</v>
      </c>
    </row>
    <row r="140" spans="9:19">
      <c r="I140" s="250" t="s">
        <v>5065</v>
      </c>
      <c r="J140" s="251">
        <f>L140-L139-50000</f>
        <v>22852739</v>
      </c>
      <c r="K140" s="250" t="s">
        <v>5064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5070</v>
      </c>
      <c r="L141" s="84">
        <v>788064769</v>
      </c>
      <c r="M141" s="84">
        <v>470434493</v>
      </c>
      <c r="N141" s="220">
        <f t="shared" si="44"/>
        <v>1258499262</v>
      </c>
      <c r="O141" s="113">
        <f t="shared" si="42"/>
        <v>9638295</v>
      </c>
      <c r="P141" s="113">
        <f t="shared" si="43"/>
        <v>23253284</v>
      </c>
      <c r="Q141" s="229">
        <v>0</v>
      </c>
    </row>
    <row r="142" spans="9:19">
      <c r="I142" s="189" t="s">
        <v>5074</v>
      </c>
      <c r="J142" s="188">
        <f>L142-L141-105000</f>
        <v>7274368</v>
      </c>
      <c r="K142" s="189" t="s">
        <v>5071</v>
      </c>
      <c r="L142" s="238">
        <v>795444137</v>
      </c>
      <c r="M142" s="238">
        <v>496046411</v>
      </c>
      <c r="N142" s="220">
        <f t="shared" si="44"/>
        <v>1291490548</v>
      </c>
      <c r="O142" s="188">
        <f>M142-M141-20000000</f>
        <v>5611918</v>
      </c>
      <c r="P142" s="188">
        <f>N142-N141-20105000</f>
        <v>12886286</v>
      </c>
      <c r="Q142" s="229">
        <v>20105000</v>
      </c>
    </row>
    <row r="143" spans="9:19">
      <c r="I143" s="264" t="s">
        <v>5081</v>
      </c>
      <c r="J143" s="265">
        <f>L143-L142+21285588</f>
        <v>17942685</v>
      </c>
      <c r="K143" s="264" t="s">
        <v>5076</v>
      </c>
      <c r="L143" s="266">
        <v>792101234</v>
      </c>
      <c r="M143" s="266">
        <v>504721695</v>
      </c>
      <c r="N143" s="220">
        <f t="shared" si="44"/>
        <v>1296822929</v>
      </c>
      <c r="O143" s="265">
        <f t="shared" si="42"/>
        <v>8675284</v>
      </c>
      <c r="P143" s="265">
        <f>N143-N142+21285588</f>
        <v>26617969</v>
      </c>
      <c r="Q143" s="229">
        <v>-21285588</v>
      </c>
    </row>
    <row r="144" spans="9:19">
      <c r="I144" s="264" t="s">
        <v>5082</v>
      </c>
      <c r="J144" s="265">
        <f>L144-L143+5949277</f>
        <v>6616903</v>
      </c>
      <c r="K144" s="264" t="s">
        <v>5077</v>
      </c>
      <c r="L144" s="266">
        <v>792768860</v>
      </c>
      <c r="M144" s="266">
        <v>507955566</v>
      </c>
      <c r="N144" s="220">
        <f t="shared" si="44"/>
        <v>1300724426</v>
      </c>
      <c r="O144" s="265">
        <f t="shared" si="42"/>
        <v>3233871</v>
      </c>
      <c r="P144" s="265">
        <f>N144-N143+5949277</f>
        <v>9850774</v>
      </c>
      <c r="Q144" s="229">
        <v>-5949277</v>
      </c>
    </row>
    <row r="145" spans="9:23" ht="30">
      <c r="I145" s="247" t="s">
        <v>5083</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5086</v>
      </c>
      <c r="J146" s="220">
        <f>L146-L145+15482124</f>
        <v>-6662026</v>
      </c>
      <c r="K146" s="219" t="s">
        <v>5084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5089</v>
      </c>
      <c r="L149" s="84">
        <v>740819252</v>
      </c>
      <c r="M149" s="84">
        <v>470305993</v>
      </c>
      <c r="N149" s="113">
        <f t="shared" si="45"/>
        <v>1211125245</v>
      </c>
      <c r="O149" s="113">
        <f t="shared" si="47"/>
        <v>-1758760</v>
      </c>
      <c r="P149" s="113">
        <f t="shared" si="48"/>
        <v>-3863586</v>
      </c>
      <c r="Q149" s="229">
        <v>0</v>
      </c>
      <c r="V149" t="s">
        <v>25</v>
      </c>
    </row>
    <row r="150" spans="9:23">
      <c r="I150" s="189" t="s">
        <v>5092</v>
      </c>
      <c r="J150" s="188">
        <f t="shared" si="46"/>
        <v>19640187</v>
      </c>
      <c r="K150" s="189" t="s">
        <v>5091</v>
      </c>
      <c r="L150" s="238">
        <v>760459439</v>
      </c>
      <c r="M150" s="238">
        <v>480341526</v>
      </c>
      <c r="N150" s="188">
        <f t="shared" si="45"/>
        <v>1240800965</v>
      </c>
      <c r="O150" s="188">
        <f>M150-M149-2480000</f>
        <v>7555533</v>
      </c>
      <c r="P150" s="188">
        <f>N150-N149-2480000</f>
        <v>27195720</v>
      </c>
      <c r="Q150" s="229">
        <v>2480000</v>
      </c>
    </row>
    <row r="151" spans="9:23">
      <c r="I151" s="213" t="s">
        <v>5095</v>
      </c>
      <c r="J151" s="113">
        <f>L151-L150-10000000</f>
        <v>7047541</v>
      </c>
      <c r="K151" s="213" t="s">
        <v>5094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5110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5100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5122</v>
      </c>
      <c r="J160" s="188">
        <f>L160-L159-1000000</f>
        <v>-11757327</v>
      </c>
      <c r="K160" s="189" t="s">
        <v>5121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5123</v>
      </c>
      <c r="L161" s="84">
        <v>809787758</v>
      </c>
      <c r="M161" s="84">
        <v>508573621</v>
      </c>
      <c r="N161" s="113">
        <f t="shared" si="45"/>
        <v>1318361379</v>
      </c>
      <c r="O161" s="113">
        <f t="shared" si="49"/>
        <v>8266116</v>
      </c>
      <c r="P161" s="113">
        <f t="shared" si="50"/>
        <v>23567917</v>
      </c>
    </row>
    <row r="162" spans="9:18">
      <c r="I162" s="250" t="s">
        <v>5125</v>
      </c>
      <c r="J162" s="251">
        <f>L162-L161-40000</f>
        <v>22492792</v>
      </c>
      <c r="K162" s="250" t="s">
        <v>5124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5134</v>
      </c>
      <c r="L164" s="84">
        <v>839851298</v>
      </c>
      <c r="M164" s="84">
        <v>524867809</v>
      </c>
      <c r="N164" s="113">
        <f t="shared" si="45"/>
        <v>1364719107</v>
      </c>
      <c r="O164" s="113">
        <f t="shared" si="49"/>
        <v>-5011363</v>
      </c>
      <c r="P164" s="113">
        <f t="shared" si="50"/>
        <v>-14640971</v>
      </c>
      <c r="Q164" s="229">
        <v>0</v>
      </c>
    </row>
    <row r="165" spans="9:18">
      <c r="I165" s="250" t="s">
        <v>5138</v>
      </c>
      <c r="J165" s="251">
        <f>L165-L164-120000</f>
        <v>-2216696</v>
      </c>
      <c r="K165" s="250" t="s">
        <v>5136</v>
      </c>
      <c r="L165" s="252">
        <v>837754602</v>
      </c>
      <c r="M165" s="252">
        <v>524141818</v>
      </c>
      <c r="N165" s="251">
        <f t="shared" si="45"/>
        <v>1361896420</v>
      </c>
      <c r="O165" s="251">
        <f>M165-M164-200000</f>
        <v>-925991</v>
      </c>
      <c r="P165" s="251">
        <f>N165-N164-320000</f>
        <v>-3142687</v>
      </c>
      <c r="Q165" s="229">
        <v>320000</v>
      </c>
    </row>
    <row r="166" spans="9:18">
      <c r="I166" s="250" t="s">
        <v>5030</v>
      </c>
      <c r="J166" s="251">
        <f t="shared" si="46"/>
        <v>-5830761</v>
      </c>
      <c r="K166" s="250" t="s">
        <v>5141</v>
      </c>
      <c r="L166" s="252">
        <v>831923841</v>
      </c>
      <c r="M166" s="252">
        <v>520741895</v>
      </c>
      <c r="N166" s="251">
        <f t="shared" si="45"/>
        <v>1352665736</v>
      </c>
      <c r="O166" s="251">
        <f>M166-M165-500000</f>
        <v>-3899923</v>
      </c>
      <c r="P166" s="251">
        <f>N166-N165-500000</f>
        <v>-9730684</v>
      </c>
      <c r="Q166" s="229">
        <v>500000</v>
      </c>
    </row>
    <row r="167" spans="9:18">
      <c r="I167" s="250" t="s">
        <v>5030</v>
      </c>
      <c r="J167" s="251">
        <f t="shared" si="46"/>
        <v>-22467551</v>
      </c>
      <c r="K167" s="250" t="s">
        <v>5144</v>
      </c>
      <c r="L167" s="252">
        <v>809456290</v>
      </c>
      <c r="M167" s="252">
        <v>509313372</v>
      </c>
      <c r="N167" s="251">
        <f t="shared" si="45"/>
        <v>1318769662</v>
      </c>
      <c r="O167" s="251">
        <f>M167-M166-500000</f>
        <v>-11928523</v>
      </c>
      <c r="P167" s="251">
        <f>N167-N166-500000</f>
        <v>-34396074</v>
      </c>
      <c r="Q167" s="229">
        <v>500000</v>
      </c>
    </row>
    <row r="168" spans="9:18">
      <c r="I168" s="250" t="s">
        <v>5145</v>
      </c>
      <c r="J168" s="251">
        <f>L168-L167-249000</f>
        <v>-15588738</v>
      </c>
      <c r="K168" s="250" t="s">
        <v>5129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5146</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5149</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5157</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5158</v>
      </c>
      <c r="L173" s="84">
        <v>802082154</v>
      </c>
      <c r="M173" s="84">
        <v>508611485</v>
      </c>
      <c r="N173" s="113">
        <f t="shared" si="45"/>
        <v>1310693639</v>
      </c>
      <c r="O173" s="113">
        <f t="shared" si="49"/>
        <v>-117320</v>
      </c>
      <c r="P173" s="113">
        <f t="shared" si="50"/>
        <v>-4323075</v>
      </c>
      <c r="Q173" s="229">
        <v>0</v>
      </c>
      <c r="R173" t="s">
        <v>25</v>
      </c>
    </row>
    <row r="174" spans="9:18">
      <c r="I174" s="250" t="s">
        <v>5161</v>
      </c>
      <c r="J174" s="251">
        <f>L174-L173-65000</f>
        <v>5888390</v>
      </c>
      <c r="K174" s="250" t="s">
        <v>5160</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5170</v>
      </c>
      <c r="J176" s="248">
        <f>L176-L175+305807</f>
        <v>8668560</v>
      </c>
      <c r="K176" s="216" t="s">
        <v>5167</v>
      </c>
      <c r="L176" s="249">
        <v>816745622</v>
      </c>
      <c r="M176" s="249">
        <v>516127148</v>
      </c>
      <c r="N176" s="248">
        <f t="shared" si="45"/>
        <v>1332872770</v>
      </c>
      <c r="O176" s="248">
        <f>M176-M175+305807</f>
        <v>3691986</v>
      </c>
      <c r="P176" s="248">
        <f>N176-N175+611614</f>
        <v>12360546</v>
      </c>
      <c r="Q176" s="229">
        <v>-611614</v>
      </c>
    </row>
    <row r="177" spans="9:17">
      <c r="I177" s="152" t="s">
        <v>5171</v>
      </c>
      <c r="J177" s="248">
        <f>L177-L176+63348</f>
        <v>4837676</v>
      </c>
      <c r="K177" s="216" t="s">
        <v>5168</v>
      </c>
      <c r="L177" s="249">
        <v>821519950</v>
      </c>
      <c r="M177" s="249">
        <v>505943649</v>
      </c>
      <c r="N177" s="248">
        <f t="shared" si="45"/>
        <v>1327463599</v>
      </c>
      <c r="O177" s="248">
        <f>M177-M176+13076601</f>
        <v>2893102</v>
      </c>
      <c r="P177" s="248">
        <f>N177-N176+13139949</f>
        <v>7730778</v>
      </c>
      <c r="Q177" s="229">
        <v>-13139949</v>
      </c>
    </row>
    <row r="178" spans="9:17">
      <c r="I178" s="272" t="s">
        <v>5174</v>
      </c>
      <c r="J178" s="273">
        <f>L178-L177-50000</f>
        <v>30757186</v>
      </c>
      <c r="K178" s="272" t="s">
        <v>5173</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5130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5181</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5185</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5187</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5192</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5194</v>
      </c>
      <c r="L184" s="84">
        <v>904707054</v>
      </c>
      <c r="M184" s="84">
        <v>557394961</v>
      </c>
      <c r="N184" s="113">
        <f t="shared" si="45"/>
        <v>1462102015</v>
      </c>
      <c r="O184" s="113">
        <f t="shared" si="49"/>
        <v>-6711498</v>
      </c>
      <c r="P184" s="113">
        <f t="shared" si="50"/>
        <v>-18369320</v>
      </c>
      <c r="Q184" s="229">
        <v>0</v>
      </c>
    </row>
    <row r="185" spans="9:17">
      <c r="I185" s="189" t="s">
        <v>5200</v>
      </c>
      <c r="J185" s="188">
        <f>L185-L184-200000</f>
        <v>15983884</v>
      </c>
      <c r="K185" s="189" t="s">
        <v>5196</v>
      </c>
      <c r="L185" s="238">
        <v>920890938</v>
      </c>
      <c r="M185" s="238">
        <v>566042468</v>
      </c>
      <c r="N185" s="188">
        <f t="shared" si="45"/>
        <v>1486933406</v>
      </c>
      <c r="O185" s="188">
        <f t="shared" si="49"/>
        <v>8647507</v>
      </c>
      <c r="P185" s="188">
        <f>N185-N184-200000</f>
        <v>24631391</v>
      </c>
      <c r="Q185" s="229">
        <v>200000</v>
      </c>
    </row>
    <row r="186" spans="9:17">
      <c r="I186" s="189" t="s">
        <v>5208</v>
      </c>
      <c r="J186" s="188">
        <f>L186-L185-30000</f>
        <v>1392982</v>
      </c>
      <c r="K186" s="189" t="s">
        <v>5201</v>
      </c>
      <c r="L186" s="238">
        <v>922313920</v>
      </c>
      <c r="M186" s="238">
        <v>567221668</v>
      </c>
      <c r="N186" s="188">
        <f t="shared" si="45"/>
        <v>1489535588</v>
      </c>
      <c r="O186" s="188">
        <f t="shared" si="49"/>
        <v>1179200</v>
      </c>
      <c r="P186" s="188">
        <f>N186-N185-30000</f>
        <v>2572182</v>
      </c>
      <c r="Q186" s="229">
        <v>30000</v>
      </c>
    </row>
    <row r="187" spans="9:17">
      <c r="I187" s="213" t="s">
        <v>5213</v>
      </c>
      <c r="J187" s="113">
        <f t="shared" si="46"/>
        <v>-1865454</v>
      </c>
      <c r="K187" s="213" t="s">
        <v>5212</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5214</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5148</v>
      </c>
      <c r="L189" s="84">
        <v>951067529</v>
      </c>
      <c r="M189" s="84">
        <v>596275041</v>
      </c>
      <c r="N189" s="117">
        <f t="shared" si="45"/>
        <v>1547342570</v>
      </c>
      <c r="O189" s="113">
        <f t="shared" si="49"/>
        <v>8603623</v>
      </c>
      <c r="P189" s="113">
        <f t="shared" si="50"/>
        <v>26700407</v>
      </c>
      <c r="Q189" s="229">
        <v>0</v>
      </c>
    </row>
    <row r="190" spans="9:17" ht="30">
      <c r="I190" s="270" t="s">
        <v>5224</v>
      </c>
      <c r="J190" s="188">
        <f>L190-L189+4000000</f>
        <v>-1393565</v>
      </c>
      <c r="K190" s="189" t="s">
        <v>5223</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5229</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5230</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5232</v>
      </c>
      <c r="L194" s="254">
        <v>901275329</v>
      </c>
      <c r="M194" s="254">
        <v>583098793</v>
      </c>
      <c r="N194" s="117">
        <f>L194+M194</f>
        <v>1484374122</v>
      </c>
      <c r="O194" s="117">
        <f t="shared" si="49"/>
        <v>-3486217</v>
      </c>
      <c r="P194" s="117">
        <f>N194-N193</f>
        <v>-18861608</v>
      </c>
      <c r="Q194" s="229">
        <v>0</v>
      </c>
    </row>
    <row r="195" spans="9:17">
      <c r="I195" s="189" t="s">
        <v>5240</v>
      </c>
      <c r="J195" s="188">
        <f>L195-L194-150000</f>
        <v>17593478</v>
      </c>
      <c r="K195" s="189" t="s">
        <v>5237</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5241</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5242</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5248</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5276</v>
      </c>
      <c r="L199" s="84">
        <v>992076311</v>
      </c>
      <c r="M199" s="84">
        <v>638214788</v>
      </c>
      <c r="N199" s="117">
        <f t="shared" si="45"/>
        <v>1630291099</v>
      </c>
      <c r="O199" s="113">
        <f t="shared" si="49"/>
        <v>470124</v>
      </c>
      <c r="P199" s="113">
        <f t="shared" si="50"/>
        <v>12547575</v>
      </c>
      <c r="Q199" s="229">
        <v>0</v>
      </c>
    </row>
    <row r="200" spans="9:17">
      <c r="I200" s="189" t="s">
        <v>5286</v>
      </c>
      <c r="J200" s="188">
        <f>L200-L199-400000</f>
        <v>-7612896</v>
      </c>
      <c r="K200" s="189" t="s">
        <v>5281</v>
      </c>
      <c r="L200" s="238">
        <v>984863415</v>
      </c>
      <c r="M200" s="238">
        <v>632226484</v>
      </c>
      <c r="N200" s="188">
        <f t="shared" si="45"/>
        <v>1617089899</v>
      </c>
      <c r="O200" s="188">
        <f t="shared" si="49"/>
        <v>-5988304</v>
      </c>
      <c r="P200" s="188">
        <f>N200-N199-400000</f>
        <v>-13601200</v>
      </c>
      <c r="Q200" s="229">
        <v>400000</v>
      </c>
    </row>
    <row r="201" spans="9:17">
      <c r="I201" s="216" t="s">
        <v>5289</v>
      </c>
      <c r="J201" s="248">
        <f>L201-L200+100000</f>
        <v>12509920</v>
      </c>
      <c r="K201" s="216" t="s">
        <v>5287</v>
      </c>
      <c r="L201" s="249">
        <v>997273335</v>
      </c>
      <c r="M201" s="249">
        <v>639479822</v>
      </c>
      <c r="N201" s="248">
        <f t="shared" si="45"/>
        <v>1636753157</v>
      </c>
      <c r="O201" s="248">
        <f t="shared" si="49"/>
        <v>7253338</v>
      </c>
      <c r="P201" s="248">
        <f>N201-N200+100000</f>
        <v>19763258</v>
      </c>
      <c r="Q201" s="229">
        <v>-100000</v>
      </c>
    </row>
    <row r="202" spans="9:17">
      <c r="I202" s="189" t="s">
        <v>5294</v>
      </c>
      <c r="J202" s="188">
        <f>L202-L201-10000000</f>
        <v>-2265988</v>
      </c>
      <c r="K202" s="189" t="s">
        <v>5292</v>
      </c>
      <c r="L202" s="238">
        <v>1005007347</v>
      </c>
      <c r="M202" s="238">
        <v>636084938</v>
      </c>
      <c r="N202" s="188">
        <f t="shared" si="45"/>
        <v>1641092285</v>
      </c>
      <c r="O202" s="188">
        <f t="shared" si="49"/>
        <v>-3394884</v>
      </c>
      <c r="P202" s="188">
        <f>N202-N201-10000000</f>
        <v>-5660872</v>
      </c>
      <c r="Q202" s="229">
        <v>10000000</v>
      </c>
    </row>
    <row r="203" spans="9:17">
      <c r="I203" s="216" t="s">
        <v>5304</v>
      </c>
      <c r="J203" s="248">
        <f>L203-L202+400000</f>
        <v>8061336</v>
      </c>
      <c r="K203" s="216" t="s">
        <v>5301</v>
      </c>
      <c r="L203" s="249">
        <v>1012668683</v>
      </c>
      <c r="M203" s="249">
        <v>641491326</v>
      </c>
      <c r="N203" s="220">
        <f t="shared" si="45"/>
        <v>1654160009</v>
      </c>
      <c r="O203" s="248">
        <f t="shared" si="49"/>
        <v>5406388</v>
      </c>
      <c r="P203" s="248">
        <f>N203-N202+400000</f>
        <v>13467724</v>
      </c>
      <c r="Q203" s="229">
        <v>-400000</v>
      </c>
    </row>
    <row r="204" spans="9:17">
      <c r="I204" s="216" t="s">
        <v>5305</v>
      </c>
      <c r="J204" s="248">
        <f t="shared" ref="J204:J243" si="51">L204-L203</f>
        <v>-21392180</v>
      </c>
      <c r="K204" s="216" t="s">
        <v>974</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5308</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5313</v>
      </c>
      <c r="L206" s="84">
        <v>991102717</v>
      </c>
      <c r="M206" s="84">
        <v>623731041</v>
      </c>
      <c r="N206" s="113">
        <f t="shared" si="52"/>
        <v>1614833758</v>
      </c>
      <c r="O206" s="113">
        <f t="shared" si="53"/>
        <v>-2790917</v>
      </c>
      <c r="P206" s="113">
        <f t="shared" si="54"/>
        <v>-6391417</v>
      </c>
      <c r="Q206" s="229">
        <v>0</v>
      </c>
    </row>
    <row r="207" spans="9:17">
      <c r="I207" s="189" t="s">
        <v>5320</v>
      </c>
      <c r="J207" s="188">
        <f>L207-L206-1300000</f>
        <v>-17889835</v>
      </c>
      <c r="K207" s="189" t="s">
        <v>5314</v>
      </c>
      <c r="L207" s="238">
        <v>974512882</v>
      </c>
      <c r="M207" s="238">
        <v>611227725</v>
      </c>
      <c r="N207" s="188">
        <f t="shared" si="52"/>
        <v>1585740607</v>
      </c>
      <c r="O207" s="188">
        <f>M207-M206-230000</f>
        <v>-12733316</v>
      </c>
      <c r="P207" s="188">
        <f>N207-N206-1530000</f>
        <v>-30623151</v>
      </c>
      <c r="Q207" s="229">
        <v>1530000</v>
      </c>
    </row>
    <row r="208" spans="9:17">
      <c r="I208" s="216" t="s">
        <v>5322</v>
      </c>
      <c r="J208" s="248">
        <f>L208-L207-230000</f>
        <v>26666770</v>
      </c>
      <c r="K208" s="216" t="s">
        <v>5321</v>
      </c>
      <c r="L208" s="249">
        <v>1001409652</v>
      </c>
      <c r="M208" s="249">
        <v>627313031</v>
      </c>
      <c r="N208" s="248">
        <f t="shared" si="52"/>
        <v>1628722683</v>
      </c>
      <c r="O208" s="248">
        <f>M208-M207+880000</f>
        <v>16965306</v>
      </c>
      <c r="P208" s="248">
        <f t="shared" si="54"/>
        <v>42982076</v>
      </c>
      <c r="Q208" s="229">
        <v>-650000</v>
      </c>
    </row>
    <row r="209" spans="9:19">
      <c r="I209" s="189" t="s">
        <v>5323</v>
      </c>
      <c r="J209" s="188">
        <f>L209-L208-880000</f>
        <v>38363123</v>
      </c>
      <c r="K209" s="189" t="s">
        <v>5326</v>
      </c>
      <c r="L209" s="238">
        <v>1040652775</v>
      </c>
      <c r="M209" s="238">
        <v>653526288</v>
      </c>
      <c r="N209" s="220">
        <f t="shared" si="52"/>
        <v>1694179063</v>
      </c>
      <c r="O209" s="188">
        <f t="shared" si="53"/>
        <v>26213257</v>
      </c>
      <c r="P209" s="188">
        <f>N209-N208-880000</f>
        <v>64576380</v>
      </c>
      <c r="Q209" s="229">
        <v>880000</v>
      </c>
    </row>
    <row r="210" spans="9:19">
      <c r="I210" s="216" t="s">
        <v>5331</v>
      </c>
      <c r="J210" s="248">
        <f>L210-L209+900000</f>
        <v>20298534</v>
      </c>
      <c r="K210" s="216" t="s">
        <v>5328</v>
      </c>
      <c r="L210" s="249">
        <v>1060051309</v>
      </c>
      <c r="M210" s="249">
        <v>663872836</v>
      </c>
      <c r="N210" s="35">
        <f t="shared" si="52"/>
        <v>1723924145</v>
      </c>
      <c r="O210" s="248">
        <f>M210-M209-200000</f>
        <v>10146548</v>
      </c>
      <c r="P210" s="248">
        <f>N210-N209+700000</f>
        <v>30445082</v>
      </c>
      <c r="Q210" s="229">
        <v>-700000</v>
      </c>
    </row>
    <row r="211" spans="9:19">
      <c r="I211" s="189" t="s">
        <v>5339</v>
      </c>
      <c r="J211" s="188">
        <f>L211-L210+3500000</f>
        <v>4965285</v>
      </c>
      <c r="K211" s="189" t="s">
        <v>991</v>
      </c>
      <c r="L211" s="238">
        <v>1061516594</v>
      </c>
      <c r="M211" s="238">
        <v>663100475</v>
      </c>
      <c r="N211" s="188">
        <f t="shared" si="52"/>
        <v>1724617069</v>
      </c>
      <c r="O211" s="188">
        <f>M211-M210-4300000</f>
        <v>-5072361</v>
      </c>
      <c r="P211" s="188">
        <f>N211-N210-800000</f>
        <v>-107076</v>
      </c>
      <c r="Q211" s="229">
        <v>800000</v>
      </c>
    </row>
    <row r="212" spans="9:19">
      <c r="I212" s="213" t="s">
        <v>5341</v>
      </c>
      <c r="J212" s="113">
        <f>L212-L211+1600000</f>
        <v>-56870795</v>
      </c>
      <c r="K212" s="213" t="s">
        <v>4273</v>
      </c>
      <c r="L212" s="84">
        <v>1003045799</v>
      </c>
      <c r="M212" s="84">
        <v>634655771</v>
      </c>
      <c r="N212" s="113">
        <f t="shared" si="52"/>
        <v>1637701570</v>
      </c>
      <c r="O212" s="113">
        <f>M212-M211-1600000</f>
        <v>-30044704</v>
      </c>
      <c r="P212" s="113">
        <f>N212-N211</f>
        <v>-86915499</v>
      </c>
      <c r="Q212" s="229">
        <v>0</v>
      </c>
    </row>
    <row r="213" spans="9:19">
      <c r="I213" s="213" t="s">
        <v>5343</v>
      </c>
      <c r="J213" s="113">
        <f>L213-L212+800000</f>
        <v>15351721</v>
      </c>
      <c r="K213" s="213" t="s">
        <v>5344</v>
      </c>
      <c r="L213" s="84">
        <v>1017597520</v>
      </c>
      <c r="M213" s="84">
        <v>638870084</v>
      </c>
      <c r="N213" s="113">
        <f t="shared" si="52"/>
        <v>1656467604</v>
      </c>
      <c r="O213" s="113">
        <f>M213-M212+10000000</f>
        <v>14214313</v>
      </c>
      <c r="P213" s="113">
        <f>N213-N212+10800000</f>
        <v>29566034</v>
      </c>
      <c r="Q213" s="229">
        <v>-10800000</v>
      </c>
    </row>
    <row r="214" spans="9:19">
      <c r="I214" s="213" t="s">
        <v>5356</v>
      </c>
      <c r="J214" s="113">
        <f t="shared" si="51"/>
        <v>-18127600</v>
      </c>
      <c r="K214" s="213" t="s">
        <v>5350</v>
      </c>
      <c r="L214" s="84">
        <v>999469920</v>
      </c>
      <c r="M214" s="84">
        <v>621895248</v>
      </c>
      <c r="N214" s="113">
        <f t="shared" ref="N214:N243" si="55">L214+M214</f>
        <v>1621365168</v>
      </c>
      <c r="O214" s="113">
        <f>M214-M213-771000</f>
        <v>-17745836</v>
      </c>
      <c r="P214" s="113">
        <f>N214-N213-771000</f>
        <v>-35873436</v>
      </c>
      <c r="Q214" s="229">
        <v>771000</v>
      </c>
    </row>
    <row r="215" spans="9:19">
      <c r="I215" s="213"/>
      <c r="J215" s="113">
        <f t="shared" si="51"/>
        <v>-999469920</v>
      </c>
      <c r="K215" s="213"/>
      <c r="L215" s="84"/>
      <c r="M215" s="84"/>
      <c r="N215" s="113">
        <f t="shared" si="55"/>
        <v>0</v>
      </c>
      <c r="O215" s="113">
        <f t="shared" ref="O215:O243" si="56">M215-M214</f>
        <v>-621895248</v>
      </c>
      <c r="P215" s="113">
        <f t="shared" ref="P215:P243" si="57">N215-N214</f>
        <v>-1621365168</v>
      </c>
    </row>
    <row r="216" spans="9:19">
      <c r="I216" s="213"/>
      <c r="J216" s="113">
        <f t="shared" si="51"/>
        <v>0</v>
      </c>
      <c r="K216" s="213"/>
      <c r="L216" s="84"/>
      <c r="M216" s="84"/>
      <c r="N216" s="113">
        <f t="shared" si="55"/>
        <v>0</v>
      </c>
      <c r="O216" s="113">
        <f t="shared" si="56"/>
        <v>0</v>
      </c>
      <c r="P216" s="113">
        <f t="shared" si="57"/>
        <v>0</v>
      </c>
    </row>
    <row r="217" spans="9:19">
      <c r="I217" s="213"/>
      <c r="J217" s="113">
        <f t="shared" si="51"/>
        <v>0</v>
      </c>
      <c r="K217" s="213"/>
      <c r="L217" s="84"/>
      <c r="M217" s="84"/>
      <c r="N217" s="113">
        <f t="shared" si="55"/>
        <v>0</v>
      </c>
      <c r="O217" s="113">
        <f t="shared" si="56"/>
        <v>0</v>
      </c>
      <c r="P217" s="113">
        <f t="shared" si="57"/>
        <v>0</v>
      </c>
    </row>
    <row r="218" spans="9:19">
      <c r="I218" s="213"/>
      <c r="J218" s="113">
        <f t="shared" si="51"/>
        <v>0</v>
      </c>
      <c r="K218" s="213"/>
      <c r="L218" s="84"/>
      <c r="M218" s="84"/>
      <c r="N218" s="113">
        <f t="shared" si="55"/>
        <v>0</v>
      </c>
      <c r="O218" s="113">
        <f t="shared" si="56"/>
        <v>0</v>
      </c>
      <c r="P218" s="113">
        <f t="shared" si="57"/>
        <v>0</v>
      </c>
      <c r="S218" t="s">
        <v>25</v>
      </c>
    </row>
    <row r="219" spans="9:19">
      <c r="I219" s="213"/>
      <c r="J219" s="113">
        <f t="shared" si="51"/>
        <v>0</v>
      </c>
      <c r="K219" s="213"/>
      <c r="L219" s="84"/>
      <c r="M219" s="84"/>
      <c r="N219" s="113">
        <f t="shared" si="55"/>
        <v>0</v>
      </c>
      <c r="O219" s="113">
        <f t="shared" si="56"/>
        <v>0</v>
      </c>
      <c r="P219" s="113">
        <f t="shared" si="57"/>
        <v>0</v>
      </c>
    </row>
    <row r="220" spans="9:19">
      <c r="I220" s="213"/>
      <c r="J220" s="113">
        <f t="shared" si="51"/>
        <v>0</v>
      </c>
      <c r="K220" s="213"/>
      <c r="L220" s="84"/>
      <c r="M220" s="84"/>
      <c r="N220" s="113">
        <f t="shared" si="55"/>
        <v>0</v>
      </c>
      <c r="O220" s="113">
        <f t="shared" si="56"/>
        <v>0</v>
      </c>
      <c r="P220" s="113">
        <f t="shared" si="57"/>
        <v>0</v>
      </c>
    </row>
    <row r="221" spans="9:19">
      <c r="I221" s="213"/>
      <c r="J221" s="113">
        <f t="shared" si="51"/>
        <v>0</v>
      </c>
      <c r="K221" s="213"/>
      <c r="L221" s="84"/>
      <c r="M221" s="84"/>
      <c r="N221" s="113">
        <f t="shared" si="55"/>
        <v>0</v>
      </c>
      <c r="O221" s="113">
        <f t="shared" si="56"/>
        <v>0</v>
      </c>
      <c r="P221" s="113">
        <f t="shared" si="57"/>
        <v>0</v>
      </c>
    </row>
    <row r="222" spans="9:19">
      <c r="I222" s="213"/>
      <c r="J222" s="113">
        <f t="shared" si="51"/>
        <v>0</v>
      </c>
      <c r="K222" s="213"/>
      <c r="L222" s="84"/>
      <c r="M222" s="84"/>
      <c r="N222" s="113">
        <f t="shared" si="55"/>
        <v>0</v>
      </c>
      <c r="O222" s="113">
        <f t="shared" si="56"/>
        <v>0</v>
      </c>
      <c r="P222" s="113">
        <f t="shared" si="57"/>
        <v>0</v>
      </c>
    </row>
    <row r="223" spans="9:19">
      <c r="I223" s="213"/>
      <c r="J223" s="113">
        <f t="shared" si="51"/>
        <v>0</v>
      </c>
      <c r="K223" s="213"/>
      <c r="L223" s="84"/>
      <c r="M223" s="84"/>
      <c r="N223" s="113">
        <f t="shared" si="55"/>
        <v>0</v>
      </c>
      <c r="O223" s="113">
        <f t="shared" si="56"/>
        <v>0</v>
      </c>
      <c r="P223" s="113">
        <f t="shared" si="57"/>
        <v>0</v>
      </c>
    </row>
    <row r="224" spans="9:19">
      <c r="I224" s="213"/>
      <c r="J224" s="113">
        <f t="shared" si="51"/>
        <v>0</v>
      </c>
      <c r="K224" s="213"/>
      <c r="L224" s="84"/>
      <c r="M224" s="84"/>
      <c r="N224" s="113">
        <f t="shared" si="55"/>
        <v>0</v>
      </c>
      <c r="O224" s="113">
        <f t="shared" si="56"/>
        <v>0</v>
      </c>
      <c r="P224" s="113">
        <f t="shared" si="57"/>
        <v>0</v>
      </c>
    </row>
    <row r="225" spans="9:19">
      <c r="I225" s="213"/>
      <c r="J225" s="113">
        <f t="shared" si="51"/>
        <v>0</v>
      </c>
      <c r="K225" s="213"/>
      <c r="L225" s="84"/>
      <c r="M225" s="84"/>
      <c r="N225" s="113">
        <f t="shared" si="55"/>
        <v>0</v>
      </c>
      <c r="O225" s="113">
        <f t="shared" si="56"/>
        <v>0</v>
      </c>
      <c r="P225" s="113">
        <f t="shared" si="57"/>
        <v>0</v>
      </c>
    </row>
    <row r="226" spans="9:19">
      <c r="I226" s="213"/>
      <c r="J226" s="113">
        <f t="shared" si="51"/>
        <v>0</v>
      </c>
      <c r="K226" s="213"/>
      <c r="L226" s="84"/>
      <c r="M226" s="84"/>
      <c r="N226" s="113">
        <f t="shared" si="55"/>
        <v>0</v>
      </c>
      <c r="O226" s="113">
        <f t="shared" si="56"/>
        <v>0</v>
      </c>
      <c r="P226" s="113">
        <f t="shared" si="57"/>
        <v>0</v>
      </c>
    </row>
    <row r="227" spans="9:19">
      <c r="I227" s="213"/>
      <c r="J227" s="113">
        <f t="shared" si="51"/>
        <v>0</v>
      </c>
      <c r="K227" s="213"/>
      <c r="L227" s="84"/>
      <c r="M227" s="84"/>
      <c r="N227" s="113">
        <f t="shared" si="55"/>
        <v>0</v>
      </c>
      <c r="O227" s="113">
        <f t="shared" si="56"/>
        <v>0</v>
      </c>
      <c r="P227" s="113">
        <f t="shared" si="57"/>
        <v>0</v>
      </c>
    </row>
    <row r="228" spans="9:19">
      <c r="I228" s="213"/>
      <c r="J228" s="113">
        <f t="shared" si="51"/>
        <v>0</v>
      </c>
      <c r="K228" s="213"/>
      <c r="L228" s="84"/>
      <c r="M228" s="84"/>
      <c r="N228" s="113">
        <f t="shared" si="55"/>
        <v>0</v>
      </c>
      <c r="O228" s="113">
        <f t="shared" si="56"/>
        <v>0</v>
      </c>
      <c r="P228" s="113">
        <f t="shared" si="57"/>
        <v>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4526</v>
      </c>
      <c r="Z2" s="99" t="s">
        <v>4582</v>
      </c>
      <c r="AA2" s="99" t="s">
        <v>4580</v>
      </c>
      <c r="AB2" s="99" t="s">
        <v>4581</v>
      </c>
      <c r="AC2" s="99" t="s">
        <v>4584</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4586</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4583</v>
      </c>
      <c r="Z4" s="99">
        <v>1</v>
      </c>
      <c r="AA4" s="99">
        <v>1</v>
      </c>
      <c r="AB4" s="99">
        <f t="shared" si="0"/>
        <v>1</v>
      </c>
      <c r="AC4" s="99" t="s">
        <v>4585</v>
      </c>
      <c r="AD4" s="99"/>
      <c r="AE4" s="99"/>
      <c r="AF4" s="99"/>
      <c r="AG4" s="99"/>
      <c r="AH4" s="99"/>
    </row>
    <row r="5" spans="1:34">
      <c r="A5" s="99">
        <v>4</v>
      </c>
      <c r="B5" s="99"/>
      <c r="C5" s="169">
        <v>102</v>
      </c>
      <c r="D5" s="99">
        <v>20000</v>
      </c>
      <c r="E5" s="99">
        <f t="shared" si="1"/>
        <v>980000</v>
      </c>
      <c r="F5" s="169">
        <f t="shared" si="2"/>
        <v>-2030004</v>
      </c>
      <c r="G5" s="169">
        <f t="shared" si="3"/>
        <v>9996</v>
      </c>
      <c r="Y5" s="99" t="s">
        <v>4569</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4559</v>
      </c>
      <c r="B43" s="113">
        <v>100000</v>
      </c>
      <c r="C43" s="99" t="s">
        <v>3889</v>
      </c>
      <c r="D43" s="99">
        <v>58</v>
      </c>
      <c r="E43" s="99">
        <f t="shared" si="5"/>
        <v>105</v>
      </c>
      <c r="F43" s="99">
        <f t="shared" si="0"/>
        <v>1</v>
      </c>
      <c r="G43" s="99">
        <f t="shared" si="2"/>
        <v>10400000</v>
      </c>
    </row>
    <row r="44" spans="1:14">
      <c r="A44" s="99" t="s">
        <v>4745</v>
      </c>
      <c r="B44" s="113">
        <v>-31000</v>
      </c>
      <c r="C44" s="99" t="s">
        <v>4754</v>
      </c>
      <c r="D44" s="99">
        <v>19</v>
      </c>
      <c r="E44" s="99">
        <f t="shared" ref="E44:E50" si="6">E45+D44</f>
        <v>47</v>
      </c>
      <c r="F44" s="99">
        <f t="shared" ref="F44:F50" si="7">IF(B44&gt;0,1,0)</f>
        <v>0</v>
      </c>
      <c r="G44" s="99">
        <f t="shared" ref="G44:G50" si="8">B44*(E44-F44)</f>
        <v>-1457000</v>
      </c>
    </row>
    <row r="45" spans="1:14">
      <c r="A45" s="99" t="s">
        <v>4826</v>
      </c>
      <c r="B45" s="113">
        <v>2060725</v>
      </c>
      <c r="C45" s="99" t="s">
        <v>4829</v>
      </c>
      <c r="D45" s="99">
        <v>6</v>
      </c>
      <c r="E45" s="99">
        <f t="shared" si="6"/>
        <v>28</v>
      </c>
      <c r="F45" s="99">
        <f t="shared" si="7"/>
        <v>1</v>
      </c>
      <c r="G45" s="99">
        <f t="shared" si="8"/>
        <v>55639575</v>
      </c>
    </row>
    <row r="46" spans="1:14">
      <c r="A46" s="99" t="s">
        <v>4850</v>
      </c>
      <c r="B46" s="113">
        <v>-1073169</v>
      </c>
      <c r="C46" s="99" t="s">
        <v>4851</v>
      </c>
      <c r="D46" s="99">
        <v>4</v>
      </c>
      <c r="E46" s="99">
        <f t="shared" si="6"/>
        <v>22</v>
      </c>
      <c r="F46" s="99">
        <f t="shared" si="7"/>
        <v>0</v>
      </c>
      <c r="G46" s="99">
        <f t="shared" si="8"/>
        <v>-23609718</v>
      </c>
    </row>
    <row r="47" spans="1:14">
      <c r="A47" s="99" t="s">
        <v>4842</v>
      </c>
      <c r="B47" s="113">
        <v>-178820</v>
      </c>
      <c r="C47" s="99" t="s">
        <v>4012</v>
      </c>
      <c r="D47" s="99">
        <v>0</v>
      </c>
      <c r="E47" s="99">
        <f t="shared" si="6"/>
        <v>18</v>
      </c>
      <c r="F47" s="99">
        <f t="shared" si="7"/>
        <v>0</v>
      </c>
      <c r="G47" s="99">
        <f t="shared" si="8"/>
        <v>-3218760</v>
      </c>
      <c r="L47" t="s">
        <v>25</v>
      </c>
    </row>
    <row r="48" spans="1:14">
      <c r="A48" s="99" t="s">
        <v>4842</v>
      </c>
      <c r="B48" s="113">
        <v>-25000</v>
      </c>
      <c r="C48" s="99" t="s">
        <v>751</v>
      </c>
      <c r="D48" s="99">
        <v>4</v>
      </c>
      <c r="E48" s="99">
        <f t="shared" si="6"/>
        <v>18</v>
      </c>
      <c r="F48" s="99">
        <f t="shared" si="7"/>
        <v>0</v>
      </c>
      <c r="G48" s="99">
        <f t="shared" si="8"/>
        <v>-450000</v>
      </c>
      <c r="L48" t="s">
        <v>25</v>
      </c>
    </row>
    <row r="49" spans="1:13">
      <c r="A49" s="99" t="s">
        <v>4855</v>
      </c>
      <c r="B49" s="113">
        <v>-49500</v>
      </c>
      <c r="C49" s="99" t="s">
        <v>452</v>
      </c>
      <c r="D49" s="99">
        <v>2</v>
      </c>
      <c r="E49" s="99">
        <f t="shared" si="6"/>
        <v>14</v>
      </c>
      <c r="F49" s="99">
        <f t="shared" si="7"/>
        <v>0</v>
      </c>
      <c r="G49" s="99">
        <f t="shared" si="8"/>
        <v>-693000</v>
      </c>
    </row>
    <row r="50" spans="1:13">
      <c r="A50" s="99" t="s">
        <v>4858</v>
      </c>
      <c r="B50" s="113">
        <v>-4500</v>
      </c>
      <c r="C50" s="99" t="s">
        <v>452</v>
      </c>
      <c r="D50" s="99">
        <v>1</v>
      </c>
      <c r="E50" s="99">
        <f t="shared" si="6"/>
        <v>12</v>
      </c>
      <c r="F50" s="99">
        <f t="shared" si="7"/>
        <v>0</v>
      </c>
      <c r="G50" s="99">
        <f t="shared" si="8"/>
        <v>-54000</v>
      </c>
    </row>
    <row r="51" spans="1:13">
      <c r="A51" s="99" t="s">
        <v>4859</v>
      </c>
      <c r="B51" s="113">
        <v>-328000</v>
      </c>
      <c r="C51" s="99" t="s">
        <v>452</v>
      </c>
      <c r="D51" s="99">
        <v>4</v>
      </c>
      <c r="E51" s="99">
        <f t="shared" ref="E51:E61" si="9">E52+D51</f>
        <v>11</v>
      </c>
      <c r="F51" s="99">
        <f t="shared" ref="F51:F61" si="10">IF(B51&gt;0,1,0)</f>
        <v>0</v>
      </c>
      <c r="G51" s="99">
        <f t="shared" ref="G51:G61" si="11">B51*(E51-F51)</f>
        <v>-3608000</v>
      </c>
    </row>
    <row r="52" spans="1:13">
      <c r="A52" s="99" t="s">
        <v>4863</v>
      </c>
      <c r="B52" s="113">
        <v>-195330</v>
      </c>
      <c r="C52" s="99" t="s">
        <v>4868</v>
      </c>
      <c r="D52" s="99">
        <v>1</v>
      </c>
      <c r="E52" s="99">
        <f t="shared" si="9"/>
        <v>7</v>
      </c>
      <c r="F52" s="99">
        <f t="shared" si="10"/>
        <v>0</v>
      </c>
      <c r="G52" s="99">
        <f t="shared" si="11"/>
        <v>-1367310</v>
      </c>
    </row>
    <row r="53" spans="1:13">
      <c r="A53" s="99" t="s">
        <v>4871</v>
      </c>
      <c r="B53" s="113">
        <v>-140730</v>
      </c>
      <c r="C53" s="99" t="s">
        <v>4874</v>
      </c>
      <c r="D53" s="99">
        <v>1</v>
      </c>
      <c r="E53" s="99">
        <f t="shared" si="9"/>
        <v>6</v>
      </c>
      <c r="F53" s="99">
        <f t="shared" si="10"/>
        <v>0</v>
      </c>
      <c r="G53" s="99">
        <f t="shared" si="11"/>
        <v>-844380</v>
      </c>
    </row>
    <row r="54" spans="1:13">
      <c r="A54" s="99" t="s">
        <v>4872</v>
      </c>
      <c r="B54" s="113">
        <v>-4200</v>
      </c>
      <c r="C54" s="99" t="s">
        <v>1069</v>
      </c>
      <c r="D54" s="99">
        <v>0</v>
      </c>
      <c r="E54" s="99">
        <f t="shared" si="9"/>
        <v>5</v>
      </c>
      <c r="F54" s="99">
        <f t="shared" si="10"/>
        <v>0</v>
      </c>
      <c r="G54" s="99">
        <f t="shared" si="11"/>
        <v>-21000</v>
      </c>
    </row>
    <row r="55" spans="1:13">
      <c r="A55" s="99" t="s">
        <v>4872</v>
      </c>
      <c r="B55" s="113">
        <v>-66567</v>
      </c>
      <c r="C55" s="99" t="s">
        <v>4012</v>
      </c>
      <c r="D55" s="99">
        <v>4</v>
      </c>
      <c r="E55" s="99">
        <f t="shared" si="9"/>
        <v>5</v>
      </c>
      <c r="F55" s="99">
        <f t="shared" si="10"/>
        <v>0</v>
      </c>
      <c r="G55" s="99">
        <f t="shared" si="11"/>
        <v>-332835</v>
      </c>
    </row>
    <row r="56" spans="1:13">
      <c r="A56" s="99" t="s">
        <v>4876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9" sqref="I49"/>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92500</v>
      </c>
      <c r="H29" s="11" t="s">
        <v>569</v>
      </c>
      <c r="I29" s="11">
        <v>165000</v>
      </c>
      <c r="J29" s="11" t="s">
        <v>564</v>
      </c>
    </row>
    <row r="30" spans="2:21">
      <c r="G30" s="11">
        <f t="shared" si="5"/>
        <v>57500</v>
      </c>
      <c r="H30" s="11" t="s">
        <v>570</v>
      </c>
      <c r="I30" s="11">
        <v>200000</v>
      </c>
      <c r="J30" s="11" t="s">
        <v>565</v>
      </c>
    </row>
    <row r="31" spans="2:21">
      <c r="G31" s="11">
        <f t="shared" si="5"/>
        <v>500</v>
      </c>
      <c r="H31" s="11" t="s">
        <v>5287</v>
      </c>
      <c r="I31" s="11">
        <v>257000</v>
      </c>
      <c r="J31" s="11" t="s">
        <v>477</v>
      </c>
    </row>
    <row r="32" spans="2:21">
      <c r="G32" s="11">
        <f>$I$48-I32</f>
        <v>72500</v>
      </c>
      <c r="H32" s="59" t="s">
        <v>794</v>
      </c>
      <c r="I32" s="11">
        <v>185000</v>
      </c>
      <c r="J32" s="11" t="s">
        <v>558</v>
      </c>
    </row>
    <row r="33" spans="6:23">
      <c r="G33" s="11">
        <f t="shared" si="5"/>
        <v>26500</v>
      </c>
      <c r="H33" s="11" t="s">
        <v>1101</v>
      </c>
      <c r="I33" s="11">
        <v>231000</v>
      </c>
      <c r="J33" s="11" t="s">
        <v>566</v>
      </c>
    </row>
    <row r="34" spans="6:23">
      <c r="G34" s="11">
        <f t="shared" si="5"/>
        <v>500</v>
      </c>
      <c r="H34" s="11" t="s">
        <v>5287</v>
      </c>
      <c r="I34" s="11">
        <v>257000</v>
      </c>
      <c r="J34" s="11" t="s">
        <v>567</v>
      </c>
    </row>
    <row r="35" spans="6:23">
      <c r="G35" s="11">
        <f t="shared" si="5"/>
        <v>500</v>
      </c>
      <c r="H35" s="11" t="s">
        <v>5287</v>
      </c>
      <c r="I35" s="11">
        <v>257000</v>
      </c>
      <c r="J35" s="11" t="s">
        <v>568</v>
      </c>
    </row>
    <row r="36" spans="6:23">
      <c r="F36" t="s">
        <v>25</v>
      </c>
      <c r="G36" s="11">
        <f t="shared" si="5"/>
        <v>38500</v>
      </c>
      <c r="H36" s="11" t="s">
        <v>642</v>
      </c>
      <c r="I36" s="11">
        <v>219000</v>
      </c>
      <c r="J36" s="11" t="s">
        <v>641</v>
      </c>
      <c r="O36" s="22"/>
    </row>
    <row r="37" spans="6:23">
      <c r="G37" s="11">
        <f t="shared" si="5"/>
        <v>39500</v>
      </c>
      <c r="H37" s="11" t="s">
        <v>651</v>
      </c>
      <c r="I37" s="11">
        <v>218000</v>
      </c>
      <c r="J37" s="11" t="s">
        <v>652</v>
      </c>
    </row>
    <row r="38" spans="6:23">
      <c r="G38" s="11">
        <f t="shared" si="5"/>
        <v>33000</v>
      </c>
      <c r="H38" s="11" t="s">
        <v>710</v>
      </c>
      <c r="I38" s="11">
        <v>224500</v>
      </c>
      <c r="J38" s="11" t="s">
        <v>709</v>
      </c>
      <c r="M38" s="25"/>
      <c r="N38" s="25"/>
      <c r="O38" s="25"/>
      <c r="P38" s="25"/>
      <c r="Q38" s="25"/>
      <c r="R38" s="25"/>
      <c r="S38" s="25"/>
      <c r="T38" s="25"/>
      <c r="U38" s="25"/>
      <c r="V38" s="25"/>
      <c r="W38" s="25"/>
    </row>
    <row r="39" spans="6:23">
      <c r="G39" s="11">
        <f t="shared" si="5"/>
        <v>67500</v>
      </c>
      <c r="H39" s="11" t="s">
        <v>744</v>
      </c>
      <c r="I39" s="11">
        <v>190000</v>
      </c>
      <c r="J39" s="11" t="s">
        <v>743</v>
      </c>
      <c r="M39" s="25"/>
      <c r="N39" s="25"/>
      <c r="O39" s="25"/>
      <c r="P39" s="25"/>
      <c r="Q39" s="25"/>
      <c r="R39" s="25"/>
      <c r="S39" s="25"/>
      <c r="T39" s="25"/>
      <c r="U39" s="25"/>
      <c r="V39" s="25"/>
      <c r="W39" s="25"/>
    </row>
    <row r="40" spans="6:23">
      <c r="G40" s="11">
        <f t="shared" si="5"/>
        <v>32500</v>
      </c>
      <c r="H40" s="11" t="s">
        <v>742</v>
      </c>
      <c r="I40" s="11">
        <v>225000</v>
      </c>
      <c r="J40" s="11" t="s">
        <v>741</v>
      </c>
      <c r="M40" s="25"/>
      <c r="N40" s="25"/>
      <c r="O40" s="25"/>
      <c r="P40" s="25"/>
      <c r="Q40" s="25"/>
      <c r="R40" s="25"/>
      <c r="S40" s="25"/>
      <c r="T40" s="25"/>
      <c r="U40" s="25"/>
      <c r="V40" s="25"/>
      <c r="W40" s="25"/>
    </row>
    <row r="41" spans="6:23">
      <c r="G41" s="11">
        <f t="shared" si="5"/>
        <v>26500</v>
      </c>
      <c r="H41" s="11" t="s">
        <v>1101</v>
      </c>
      <c r="I41" s="11">
        <v>231000</v>
      </c>
      <c r="J41" s="11" t="s">
        <v>781</v>
      </c>
      <c r="M41" s="25"/>
      <c r="N41" s="25"/>
      <c r="O41" s="71"/>
      <c r="P41" s="25"/>
      <c r="Q41" s="71"/>
      <c r="R41" s="71"/>
      <c r="S41" s="28"/>
      <c r="T41" s="28"/>
      <c r="U41" s="28"/>
      <c r="V41" s="28"/>
      <c r="W41" s="28"/>
    </row>
    <row r="42" spans="6:23">
      <c r="G42" s="11">
        <f t="shared" ref="G42:G47" si="6">$I$48-I42</f>
        <v>41500</v>
      </c>
      <c r="H42" s="11" t="s">
        <v>782</v>
      </c>
      <c r="I42" s="11">
        <v>216000</v>
      </c>
      <c r="J42" s="11" t="s">
        <v>783</v>
      </c>
      <c r="M42" s="25"/>
      <c r="N42" s="25"/>
      <c r="O42" s="71"/>
      <c r="P42" s="25"/>
      <c r="Q42" s="71"/>
      <c r="R42" s="71"/>
      <c r="S42" s="28"/>
      <c r="T42" s="28"/>
      <c r="U42" s="25"/>
      <c r="V42" s="28"/>
      <c r="W42" s="28"/>
    </row>
    <row r="43" spans="6:23">
      <c r="G43" s="11">
        <f t="shared" si="6"/>
        <v>30500</v>
      </c>
      <c r="H43" s="11" t="s">
        <v>811</v>
      </c>
      <c r="I43" s="11">
        <v>227000</v>
      </c>
      <c r="J43" s="11" t="s">
        <v>812</v>
      </c>
      <c r="M43" s="25"/>
      <c r="N43" s="25"/>
      <c r="O43" s="25"/>
      <c r="P43" s="25"/>
      <c r="Q43" s="28"/>
      <c r="R43" s="25"/>
      <c r="S43" s="28"/>
      <c r="T43" s="25"/>
      <c r="U43" s="25"/>
      <c r="V43" s="25"/>
      <c r="W43" s="25"/>
    </row>
    <row r="44" spans="6:23">
      <c r="G44" s="11">
        <f t="shared" si="6"/>
        <v>28500</v>
      </c>
      <c r="H44" s="11" t="s">
        <v>874</v>
      </c>
      <c r="I44" s="11">
        <v>229000</v>
      </c>
      <c r="J44" s="11" t="s">
        <v>480</v>
      </c>
      <c r="M44" s="25"/>
      <c r="N44" s="25"/>
      <c r="O44" s="25"/>
      <c r="P44" s="25"/>
      <c r="Q44" s="25"/>
      <c r="R44" s="25"/>
      <c r="S44" s="25"/>
      <c r="T44" s="25"/>
      <c r="U44" s="25"/>
      <c r="V44" s="25"/>
      <c r="W44" s="25"/>
    </row>
    <row r="45" spans="6:23">
      <c r="G45" s="11">
        <f t="shared" si="6"/>
        <v>26500</v>
      </c>
      <c r="H45" s="11" t="s">
        <v>1101</v>
      </c>
      <c r="I45" s="11">
        <v>231000</v>
      </c>
      <c r="J45" s="11" t="s">
        <v>1100</v>
      </c>
      <c r="M45" s="25"/>
      <c r="N45" s="25"/>
      <c r="O45" s="25"/>
      <c r="P45" s="25"/>
      <c r="Q45" s="25"/>
      <c r="R45" s="25"/>
      <c r="S45" s="28"/>
      <c r="T45" s="25"/>
      <c r="U45" s="25"/>
      <c r="V45" s="25"/>
      <c r="W45" s="25"/>
    </row>
    <row r="46" spans="6:23">
      <c r="G46" s="11">
        <f t="shared" si="6"/>
        <v>9300</v>
      </c>
      <c r="H46" s="11" t="s">
        <v>4794</v>
      </c>
      <c r="I46" s="11">
        <v>248200</v>
      </c>
      <c r="J46" s="11" t="s">
        <v>4803</v>
      </c>
      <c r="M46" s="25"/>
      <c r="N46" s="25"/>
      <c r="O46" s="25"/>
      <c r="P46" s="25"/>
      <c r="Q46" s="25"/>
      <c r="R46" s="25"/>
      <c r="S46" s="25"/>
      <c r="T46" s="25"/>
      <c r="U46" s="25"/>
      <c r="V46" s="25"/>
      <c r="W46" s="25"/>
    </row>
    <row r="47" spans="6:23">
      <c r="G47" s="99">
        <f t="shared" si="6"/>
        <v>500</v>
      </c>
      <c r="H47" s="99" t="s">
        <v>5287</v>
      </c>
      <c r="I47" s="99">
        <v>257000</v>
      </c>
      <c r="J47" s="99" t="s">
        <v>5353</v>
      </c>
      <c r="M47" s="25"/>
      <c r="N47" s="25"/>
      <c r="O47" s="25"/>
      <c r="P47" s="25"/>
      <c r="Q47" s="25"/>
      <c r="R47" s="25"/>
      <c r="S47" s="25"/>
      <c r="T47" s="25"/>
      <c r="U47" s="25"/>
      <c r="V47" s="25"/>
      <c r="W47" s="25"/>
    </row>
    <row r="48" spans="6:23">
      <c r="G48" s="11"/>
      <c r="H48" s="11"/>
      <c r="I48" s="11">
        <v>257500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4463</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4470</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4470</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4476</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4483</v>
      </c>
      <c r="B16" s="18">
        <v>12000000</v>
      </c>
      <c r="C16" s="18">
        <v>0</v>
      </c>
      <c r="D16" s="113">
        <f t="shared" si="0"/>
        <v>12000000</v>
      </c>
      <c r="E16" s="20" t="s">
        <v>4484</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4485</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4487</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4488</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4488</v>
      </c>
      <c r="B20" s="18">
        <v>0</v>
      </c>
      <c r="C20" s="18">
        <v>-8034286</v>
      </c>
      <c r="D20" s="113">
        <f t="shared" si="0"/>
        <v>8034286</v>
      </c>
      <c r="E20" s="19" t="s">
        <v>4489</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4488</v>
      </c>
      <c r="B21" s="18">
        <v>-10000</v>
      </c>
      <c r="C21" s="18">
        <v>0</v>
      </c>
      <c r="D21" s="113">
        <f t="shared" si="0"/>
        <v>-10000</v>
      </c>
      <c r="E21" s="19" t="s">
        <v>4490</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4491</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4497</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4498</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4498</v>
      </c>
      <c r="B25" s="18">
        <v>-100500</v>
      </c>
      <c r="C25" s="18">
        <v>0</v>
      </c>
      <c r="D25" s="113">
        <f t="shared" si="0"/>
        <v>-100500</v>
      </c>
      <c r="E25" s="19" t="s">
        <v>4500</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4498</v>
      </c>
      <c r="B26" s="18">
        <v>-68670</v>
      </c>
      <c r="C26" s="18">
        <v>0</v>
      </c>
      <c r="D26" s="113">
        <f t="shared" si="0"/>
        <v>-68670</v>
      </c>
      <c r="E26" s="19" t="s">
        <v>4504</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4501</v>
      </c>
      <c r="B27" s="18">
        <v>-118600</v>
      </c>
      <c r="C27" s="18">
        <v>0</v>
      </c>
      <c r="D27" s="113">
        <f t="shared" si="0"/>
        <v>-118600</v>
      </c>
      <c r="E27" s="19" t="s">
        <v>4506</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4511</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4511</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4511</v>
      </c>
      <c r="B30" s="18">
        <v>-389000</v>
      </c>
      <c r="C30" s="18">
        <v>0</v>
      </c>
      <c r="D30" s="113">
        <f t="shared" si="0"/>
        <v>-389000</v>
      </c>
      <c r="E30" s="19" t="s">
        <v>4513</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4460</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4464</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4466</v>
      </c>
      <c r="F40" s="96"/>
      <c r="G40" s="96"/>
      <c r="H40" s="96"/>
      <c r="I40" s="96"/>
      <c r="J40" s="96"/>
      <c r="K40" s="96"/>
      <c r="L40" s="96"/>
      <c r="M40" s="96"/>
      <c r="N40" s="96"/>
      <c r="O40" s="96"/>
      <c r="P40" s="96"/>
      <c r="Q40" s="96"/>
      <c r="R40" s="96"/>
      <c r="S40" s="96"/>
      <c r="T40" s="96"/>
    </row>
    <row r="41" spans="1:20">
      <c r="A41" s="96"/>
      <c r="B41" s="96"/>
      <c r="C41" s="96"/>
      <c r="D41" s="114">
        <v>40000</v>
      </c>
      <c r="E41" s="54" t="s">
        <v>4465</v>
      </c>
      <c r="F41" s="96"/>
      <c r="G41" s="96"/>
      <c r="H41" s="96"/>
      <c r="I41" s="96"/>
      <c r="J41" s="96"/>
      <c r="K41" s="96"/>
      <c r="L41" s="96"/>
      <c r="M41" s="96"/>
      <c r="N41" s="96"/>
      <c r="O41" s="96"/>
      <c r="P41" s="96"/>
      <c r="Q41" s="96"/>
      <c r="R41" s="96"/>
      <c r="S41" s="96"/>
      <c r="T41" s="96"/>
    </row>
    <row r="42" spans="1:20">
      <c r="A42" s="96"/>
      <c r="B42" s="96"/>
      <c r="C42" s="96"/>
      <c r="D42" s="114">
        <v>-490000</v>
      </c>
      <c r="E42" s="54" t="s">
        <v>4469</v>
      </c>
      <c r="F42" s="96"/>
      <c r="G42" s="96"/>
      <c r="H42" s="96"/>
      <c r="I42" s="96"/>
      <c r="J42" s="96"/>
      <c r="K42" s="96"/>
      <c r="L42" s="96"/>
      <c r="M42" s="96"/>
      <c r="N42" s="96"/>
      <c r="O42" s="96"/>
      <c r="P42" s="96"/>
      <c r="Q42" s="96"/>
      <c r="R42" s="96"/>
      <c r="S42" s="96"/>
      <c r="T42" s="96"/>
    </row>
    <row r="43" spans="1:20">
      <c r="A43" s="96"/>
      <c r="B43" s="96"/>
      <c r="C43" s="96"/>
      <c r="D43" s="114">
        <v>-597051</v>
      </c>
      <c r="E43" s="54" t="s">
        <v>4478</v>
      </c>
      <c r="F43" s="96"/>
      <c r="G43" s="96"/>
      <c r="H43" s="96"/>
      <c r="I43" s="96"/>
      <c r="J43" s="96"/>
      <c r="K43" s="96"/>
      <c r="L43" s="96"/>
      <c r="M43" s="96"/>
      <c r="N43" s="96"/>
      <c r="O43" s="96"/>
      <c r="P43" s="96"/>
      <c r="Q43" s="96"/>
      <c r="R43" s="96"/>
      <c r="S43" s="96"/>
      <c r="T43" s="96"/>
    </row>
    <row r="44" spans="1:20">
      <c r="A44" s="96"/>
      <c r="B44" s="96"/>
      <c r="C44" s="96"/>
      <c r="D44" s="114">
        <v>13900</v>
      </c>
      <c r="E44" s="54" t="s">
        <v>4479</v>
      </c>
      <c r="F44" s="96"/>
      <c r="G44" s="96"/>
      <c r="H44" s="96"/>
      <c r="I44" s="96"/>
      <c r="J44" s="96"/>
      <c r="K44" s="96"/>
      <c r="L44" s="96"/>
      <c r="M44" s="96"/>
      <c r="N44" s="96"/>
      <c r="O44" s="96"/>
      <c r="P44" s="96"/>
      <c r="Q44" s="96"/>
      <c r="R44" s="96"/>
      <c r="S44" s="96"/>
      <c r="T44" s="96"/>
    </row>
    <row r="45" spans="1:20">
      <c r="A45" s="96"/>
      <c r="B45" s="96"/>
      <c r="C45" s="96"/>
      <c r="D45" s="114">
        <v>2000000</v>
      </c>
      <c r="E45" s="54" t="s">
        <v>4480</v>
      </c>
      <c r="F45" s="96"/>
      <c r="G45" s="96" t="s">
        <v>25</v>
      </c>
      <c r="H45" s="96"/>
      <c r="I45" s="96"/>
      <c r="J45" s="96"/>
      <c r="K45" s="96"/>
      <c r="L45" s="96"/>
      <c r="M45" s="96"/>
      <c r="N45" s="96"/>
      <c r="O45" s="96"/>
      <c r="P45" s="96"/>
      <c r="Q45" s="96"/>
      <c r="R45" s="96"/>
      <c r="S45" s="96"/>
      <c r="T45" s="96"/>
    </row>
    <row r="46" spans="1:20">
      <c r="A46" s="96"/>
      <c r="B46" s="96"/>
      <c r="C46" s="96"/>
      <c r="D46" s="114">
        <v>-300000</v>
      </c>
      <c r="E46" s="54" t="s">
        <v>4481</v>
      </c>
      <c r="F46" s="96"/>
      <c r="G46" s="96" t="s">
        <v>25</v>
      </c>
      <c r="H46" s="96"/>
      <c r="I46" s="96"/>
      <c r="J46" s="96"/>
      <c r="K46" s="96"/>
      <c r="L46" s="96"/>
      <c r="M46" s="96"/>
      <c r="N46" s="96"/>
      <c r="O46" s="96"/>
      <c r="P46" s="96"/>
      <c r="Q46" s="96"/>
      <c r="R46" s="96"/>
      <c r="S46" s="96"/>
      <c r="T46" s="96"/>
    </row>
    <row r="47" spans="1:20" ht="30">
      <c r="A47" s="96"/>
      <c r="B47" s="96"/>
      <c r="C47" s="96"/>
      <c r="D47" s="114">
        <v>300000</v>
      </c>
      <c r="E47" s="54" t="s">
        <v>4486</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4493</v>
      </c>
      <c r="F49" s="96"/>
      <c r="G49" s="96"/>
      <c r="H49" s="96" t="s">
        <v>25</v>
      </c>
      <c r="I49" s="96"/>
      <c r="J49" s="96"/>
      <c r="K49" s="96"/>
      <c r="L49" s="96"/>
      <c r="M49" s="96"/>
      <c r="N49" s="96"/>
      <c r="O49" s="96"/>
      <c r="P49" s="96"/>
      <c r="Q49" s="96"/>
      <c r="R49" s="96"/>
      <c r="S49" s="96"/>
      <c r="T49" s="96"/>
    </row>
    <row r="50" spans="1:20">
      <c r="A50" s="96"/>
      <c r="B50" s="96"/>
      <c r="C50" s="96"/>
      <c r="D50" s="114">
        <v>-55000</v>
      </c>
      <c r="E50" s="54" t="s">
        <v>4496</v>
      </c>
      <c r="F50" s="96"/>
      <c r="G50" s="96"/>
      <c r="H50" s="96"/>
      <c r="I50" s="96"/>
      <c r="J50" s="96"/>
      <c r="K50" s="96"/>
      <c r="L50" s="96"/>
      <c r="M50" s="96"/>
      <c r="N50" s="96"/>
      <c r="O50" s="96"/>
      <c r="P50" s="96"/>
      <c r="Q50" s="96"/>
      <c r="R50" s="96"/>
      <c r="S50" s="96"/>
      <c r="T50" s="96"/>
    </row>
    <row r="51" spans="1:20">
      <c r="A51" s="96"/>
      <c r="B51" s="96"/>
      <c r="C51" s="96"/>
      <c r="D51" s="114">
        <v>100500</v>
      </c>
      <c r="E51" s="54" t="s">
        <v>4500</v>
      </c>
      <c r="F51" s="96"/>
      <c r="G51" s="96"/>
      <c r="H51" s="96"/>
      <c r="I51" s="96"/>
      <c r="J51" s="96"/>
      <c r="K51" s="96"/>
      <c r="L51" s="96"/>
      <c r="M51" s="96"/>
      <c r="N51" s="96"/>
      <c r="O51" s="96"/>
      <c r="P51" s="96"/>
      <c r="Q51" s="96"/>
      <c r="R51" s="96"/>
      <c r="S51" s="96"/>
      <c r="T51" s="96"/>
    </row>
    <row r="52" spans="1:20">
      <c r="A52" s="96"/>
      <c r="B52" s="96"/>
      <c r="C52" s="96"/>
      <c r="D52" s="114">
        <v>68670</v>
      </c>
      <c r="E52" s="54" t="s">
        <v>4505</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4512</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4537</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4537</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4541</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4541</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4544</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4544</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4547</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4550</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4550</v>
      </c>
      <c r="B11" s="18">
        <v>-1287000</v>
      </c>
      <c r="C11" s="18">
        <v>0</v>
      </c>
      <c r="D11" s="113">
        <f t="shared" si="0"/>
        <v>-1287000</v>
      </c>
      <c r="E11" s="19" t="s">
        <v>4551</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4547</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4548</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4559</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4563</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4564</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4566</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4574</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4578</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4491</v>
      </c>
      <c r="B22" s="18">
        <v>-3995000</v>
      </c>
      <c r="C22" s="18">
        <v>0</v>
      </c>
      <c r="D22" s="113">
        <f t="shared" si="0"/>
        <v>-3995000</v>
      </c>
      <c r="E22" s="19" t="s">
        <v>4579</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4497</v>
      </c>
      <c r="B23" s="18">
        <v>-2010700</v>
      </c>
      <c r="C23" s="18">
        <v>0</v>
      </c>
      <c r="D23" s="113">
        <f t="shared" si="0"/>
        <v>-2010700</v>
      </c>
      <c r="E23" s="19" t="s">
        <v>4589</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4587</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4592</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4601</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4606</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4606</v>
      </c>
      <c r="B29" s="18">
        <v>-77315</v>
      </c>
      <c r="C29" s="18">
        <v>0</v>
      </c>
      <c r="D29" s="113">
        <f t="shared" si="0"/>
        <v>-77315</v>
      </c>
      <c r="E29" s="19" t="s">
        <v>4608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4610</v>
      </c>
      <c r="B30" s="18">
        <v>-66850</v>
      </c>
      <c r="C30" s="18">
        <v>0</v>
      </c>
      <c r="D30" s="113">
        <f t="shared" si="0"/>
        <v>-66850</v>
      </c>
      <c r="E30" s="19" t="s">
        <v>4613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4610</v>
      </c>
      <c r="B31" s="168">
        <v>-30000</v>
      </c>
      <c r="C31" s="168">
        <v>0</v>
      </c>
      <c r="D31" s="168">
        <f t="shared" ref="D31" si="4">B31-C31</f>
        <v>-30000</v>
      </c>
      <c r="E31" s="168" t="s">
        <v>4612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4539</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4543</v>
      </c>
      <c r="F40" s="96"/>
      <c r="G40" s="96"/>
      <c r="H40" s="96"/>
      <c r="I40" s="96"/>
      <c r="J40" s="96"/>
      <c r="K40" s="96"/>
      <c r="L40" s="96"/>
      <c r="M40" s="96"/>
      <c r="N40" s="96"/>
      <c r="O40" s="96"/>
      <c r="P40" s="96"/>
      <c r="Q40" s="96"/>
      <c r="R40" s="96"/>
      <c r="S40" s="96"/>
    </row>
    <row r="41" spans="1:19" ht="24.75" customHeight="1">
      <c r="A41" s="96"/>
      <c r="B41" s="96"/>
      <c r="C41" s="96"/>
      <c r="D41" s="18">
        <v>3576</v>
      </c>
      <c r="E41" s="122" t="s">
        <v>4545</v>
      </c>
      <c r="F41" s="96"/>
      <c r="G41" s="96"/>
      <c r="H41" s="96"/>
      <c r="I41" s="96"/>
      <c r="J41" s="96"/>
      <c r="K41" s="96"/>
      <c r="L41" s="96"/>
      <c r="M41" s="96"/>
      <c r="N41" s="96"/>
      <c r="O41" s="96"/>
      <c r="P41" s="96"/>
      <c r="Q41" s="96"/>
      <c r="R41" s="96"/>
      <c r="S41" s="96"/>
    </row>
    <row r="42" spans="1:19" ht="30.75" customHeight="1">
      <c r="A42" s="96"/>
      <c r="B42" s="96"/>
      <c r="C42" s="96"/>
      <c r="D42" s="18">
        <v>-400000</v>
      </c>
      <c r="E42" s="122" t="s">
        <v>4546</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4552</v>
      </c>
      <c r="F44" s="96"/>
      <c r="G44" s="96"/>
      <c r="H44" s="96"/>
      <c r="I44" s="96"/>
      <c r="J44" s="96"/>
      <c r="K44" s="96"/>
      <c r="L44" s="96"/>
      <c r="M44" s="96"/>
      <c r="N44" s="96"/>
      <c r="O44" s="96"/>
      <c r="P44" s="96"/>
      <c r="Q44" s="96"/>
      <c r="R44" s="96"/>
      <c r="S44" s="96"/>
    </row>
    <row r="45" spans="1:19" ht="24.75" customHeight="1">
      <c r="A45" s="96"/>
      <c r="B45" s="96"/>
      <c r="C45" s="96"/>
      <c r="D45" s="18">
        <v>-200000</v>
      </c>
      <c r="E45" s="122" t="s">
        <v>4560</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4590</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4602</v>
      </c>
      <c r="F47" s="96" t="s">
        <v>25</v>
      </c>
      <c r="G47" s="96"/>
      <c r="H47" s="96"/>
      <c r="I47" s="96"/>
      <c r="J47" s="96"/>
      <c r="K47" s="96"/>
      <c r="L47" s="96"/>
      <c r="M47" s="96"/>
      <c r="N47" s="96"/>
      <c r="O47" s="96"/>
      <c r="P47" s="96"/>
      <c r="Q47" s="96"/>
      <c r="R47" s="96"/>
      <c r="S47" s="96"/>
    </row>
    <row r="48" spans="1:19">
      <c r="A48" s="96"/>
      <c r="B48" s="96"/>
      <c r="C48" s="96"/>
      <c r="D48" s="18">
        <v>49315</v>
      </c>
      <c r="E48" s="122" t="s">
        <v>4609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4616</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4630</v>
      </c>
      <c r="B5" s="18">
        <v>-200000</v>
      </c>
      <c r="C5" s="18">
        <v>0</v>
      </c>
      <c r="D5" s="113">
        <f t="shared" si="0"/>
        <v>-200000</v>
      </c>
      <c r="E5" s="20" t="s">
        <v>4627</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4640</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4643</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4643</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4643</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4643</v>
      </c>
      <c r="B10" s="18">
        <v>-51400</v>
      </c>
      <c r="C10" s="18">
        <v>0</v>
      </c>
      <c r="D10" s="113">
        <f t="shared" si="0"/>
        <v>-51400</v>
      </c>
      <c r="E10" s="19" t="s">
        <v>4649</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4652</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4652</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4667</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4667</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4667</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4680</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4686</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4686</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4688</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4689</v>
      </c>
      <c r="B22" s="18">
        <v>-324747</v>
      </c>
      <c r="C22" s="18">
        <v>0</v>
      </c>
      <c r="D22" s="113">
        <f t="shared" si="0"/>
        <v>-324747</v>
      </c>
      <c r="E22" s="19" t="s">
        <v>4696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4703</v>
      </c>
      <c r="B23" s="18">
        <v>-297992</v>
      </c>
      <c r="C23" s="18">
        <v>0</v>
      </c>
      <c r="D23" s="113">
        <f t="shared" si="0"/>
        <v>-297992</v>
      </c>
      <c r="E23" s="19" t="s">
        <v>4704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4712</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4623</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4624</v>
      </c>
      <c r="F40" s="96"/>
      <c r="G40" s="96"/>
      <c r="H40" s="96"/>
      <c r="I40" s="96"/>
      <c r="J40" s="96"/>
      <c r="K40" s="96"/>
      <c r="L40" s="96"/>
      <c r="M40" s="96"/>
      <c r="N40" s="96"/>
      <c r="O40" s="96"/>
      <c r="P40" s="96"/>
      <c r="Q40" s="96"/>
      <c r="R40" s="96"/>
      <c r="S40" s="96"/>
    </row>
    <row r="41" spans="1:19">
      <c r="A41" s="96"/>
      <c r="B41" s="96"/>
      <c r="C41" s="96"/>
      <c r="D41" s="18">
        <v>47848</v>
      </c>
      <c r="E41" s="122" t="s">
        <v>4628</v>
      </c>
      <c r="F41" s="96"/>
      <c r="G41" s="96"/>
      <c r="H41" s="96"/>
      <c r="I41" s="96"/>
      <c r="J41" s="96"/>
      <c r="K41" s="96"/>
      <c r="L41" s="96"/>
      <c r="M41" s="96"/>
      <c r="N41" s="96"/>
      <c r="O41" s="96"/>
      <c r="P41" s="96"/>
      <c r="Q41" s="96"/>
      <c r="R41" s="96"/>
      <c r="S41" s="96"/>
    </row>
    <row r="42" spans="1:19">
      <c r="A42" s="96"/>
      <c r="B42" s="96"/>
      <c r="C42" s="96"/>
      <c r="D42" s="18">
        <v>200000</v>
      </c>
      <c r="E42" s="122" t="s">
        <v>4629</v>
      </c>
      <c r="F42" s="96"/>
      <c r="G42" s="96"/>
      <c r="H42" s="96"/>
      <c r="I42" s="96"/>
      <c r="J42" s="96"/>
      <c r="K42" s="96"/>
      <c r="L42" s="96"/>
      <c r="M42" s="96"/>
      <c r="N42" s="96"/>
      <c r="O42" s="96"/>
      <c r="P42" s="96"/>
      <c r="Q42" s="96"/>
      <c r="R42" s="96"/>
      <c r="S42" s="96"/>
    </row>
    <row r="43" spans="1:19">
      <c r="A43" s="96"/>
      <c r="B43" s="96"/>
      <c r="C43" s="96"/>
      <c r="D43" s="18">
        <v>60460</v>
      </c>
      <c r="E43" s="122" t="s">
        <v>4645</v>
      </c>
      <c r="F43" s="96"/>
      <c r="G43" s="96"/>
      <c r="H43" s="96"/>
      <c r="I43" s="96"/>
      <c r="J43" s="96"/>
      <c r="K43" s="96"/>
      <c r="L43" s="96"/>
      <c r="M43" s="96"/>
      <c r="N43" s="96"/>
      <c r="O43" s="96"/>
      <c r="P43" s="96"/>
      <c r="Q43" s="96"/>
      <c r="R43" s="96"/>
      <c r="S43" s="96"/>
    </row>
    <row r="44" spans="1:19">
      <c r="A44" s="96"/>
      <c r="B44" s="96"/>
      <c r="C44" s="96"/>
      <c r="D44" s="18">
        <v>-2400000</v>
      </c>
      <c r="E44" s="122" t="s">
        <v>4646</v>
      </c>
      <c r="F44" s="96"/>
      <c r="G44" s="96"/>
      <c r="H44" s="96"/>
      <c r="I44" s="96"/>
      <c r="J44" s="96"/>
      <c r="K44" s="96"/>
      <c r="L44" s="96"/>
      <c r="M44" s="96"/>
      <c r="N44" s="96"/>
      <c r="O44" s="96"/>
      <c r="P44" s="96"/>
      <c r="Q44" s="96"/>
      <c r="R44" s="96"/>
      <c r="S44" s="96"/>
    </row>
    <row r="45" spans="1:19">
      <c r="A45" s="96"/>
      <c r="B45" s="96"/>
      <c r="C45" s="96"/>
      <c r="D45" s="18">
        <v>135487</v>
      </c>
      <c r="E45" s="122" t="s">
        <v>4647</v>
      </c>
      <c r="F45" s="96"/>
      <c r="G45" s="96" t="s">
        <v>25</v>
      </c>
      <c r="H45" s="96"/>
      <c r="I45" s="96"/>
      <c r="J45" s="96"/>
      <c r="K45" s="96"/>
      <c r="L45" s="96"/>
      <c r="M45" s="96"/>
      <c r="N45" s="96"/>
      <c r="O45" s="96"/>
      <c r="P45" s="96"/>
      <c r="Q45" s="96"/>
      <c r="R45" s="96"/>
      <c r="S45" s="96"/>
    </row>
    <row r="46" spans="1:19">
      <c r="A46" s="96"/>
      <c r="B46" s="96"/>
      <c r="C46" s="96"/>
      <c r="D46" s="18">
        <v>347153</v>
      </c>
      <c r="E46" s="122" t="s">
        <v>4648</v>
      </c>
      <c r="F46" s="96"/>
      <c r="G46" s="96" t="s">
        <v>25</v>
      </c>
      <c r="H46" s="96"/>
      <c r="I46" s="96"/>
      <c r="J46" s="96"/>
      <c r="K46" s="96"/>
      <c r="L46" s="96"/>
      <c r="M46" s="96"/>
      <c r="N46" s="96"/>
      <c r="O46" s="96"/>
      <c r="P46" s="96"/>
      <c r="Q46" s="96"/>
      <c r="R46" s="96"/>
      <c r="S46" s="96"/>
    </row>
    <row r="47" spans="1:19">
      <c r="A47" s="96"/>
      <c r="B47" s="96"/>
      <c r="C47" s="96"/>
      <c r="D47" s="18">
        <v>51400</v>
      </c>
      <c r="E47" s="122" t="s">
        <v>4649</v>
      </c>
      <c r="F47" s="96" t="s">
        <v>25</v>
      </c>
      <c r="G47" s="96"/>
      <c r="H47" s="96"/>
      <c r="I47" s="96"/>
      <c r="J47" s="96"/>
      <c r="K47" s="96"/>
      <c r="L47" s="96"/>
      <c r="M47" s="96"/>
      <c r="N47" s="96"/>
      <c r="O47" s="96"/>
      <c r="P47" s="96"/>
      <c r="Q47" s="96"/>
      <c r="R47" s="96"/>
      <c r="S47" s="96"/>
    </row>
    <row r="48" spans="1:19">
      <c r="A48" s="96"/>
      <c r="B48" s="96"/>
      <c r="C48" s="96"/>
      <c r="D48" s="18">
        <v>-200000</v>
      </c>
      <c r="E48" s="122" t="s">
        <v>4653</v>
      </c>
      <c r="F48" s="96"/>
      <c r="G48" s="96"/>
      <c r="H48" s="96"/>
      <c r="I48" s="96"/>
      <c r="J48" s="96"/>
      <c r="K48" s="96"/>
      <c r="L48" s="96"/>
      <c r="M48" s="96"/>
      <c r="N48" s="96"/>
      <c r="O48" s="96"/>
      <c r="P48" s="96"/>
      <c r="Q48" s="96"/>
      <c r="R48" s="96"/>
      <c r="S48" s="96"/>
    </row>
    <row r="49" spans="1:19">
      <c r="A49" s="96"/>
      <c r="B49" s="96"/>
      <c r="C49" s="96"/>
      <c r="D49" s="18">
        <v>-400000</v>
      </c>
      <c r="E49" s="122" t="s">
        <v>4659</v>
      </c>
      <c r="F49" s="96"/>
      <c r="G49" s="96"/>
      <c r="H49" s="96" t="s">
        <v>25</v>
      </c>
      <c r="I49" s="96"/>
      <c r="J49" s="96"/>
      <c r="K49" s="96"/>
      <c r="L49" s="96"/>
      <c r="M49" s="96"/>
      <c r="N49" s="96"/>
      <c r="O49" s="96"/>
      <c r="P49" s="96"/>
      <c r="Q49" s="96"/>
      <c r="R49" s="96"/>
      <c r="S49" s="96"/>
    </row>
    <row r="50" spans="1:19">
      <c r="A50" s="96"/>
      <c r="B50" s="96"/>
      <c r="C50" s="96"/>
      <c r="D50" s="18">
        <v>-200000</v>
      </c>
      <c r="E50" s="122" t="s">
        <v>4660</v>
      </c>
      <c r="F50" s="96"/>
      <c r="G50" s="96"/>
      <c r="H50" s="96"/>
      <c r="I50" s="96"/>
      <c r="J50" s="96"/>
      <c r="K50" s="96"/>
      <c r="L50" s="96"/>
      <c r="M50" s="96"/>
      <c r="N50" s="96"/>
      <c r="O50" s="96"/>
      <c r="P50" s="96"/>
      <c r="Q50" s="96"/>
      <c r="R50" s="96"/>
      <c r="S50" s="96"/>
    </row>
    <row r="51" spans="1:19">
      <c r="A51" s="96"/>
      <c r="B51" s="96"/>
      <c r="C51" s="96"/>
      <c r="D51" s="18">
        <v>276773</v>
      </c>
      <c r="E51" s="122" t="s">
        <v>4669</v>
      </c>
      <c r="F51" s="96"/>
      <c r="G51" s="96"/>
      <c r="H51" s="96"/>
      <c r="I51" s="96"/>
      <c r="J51" s="96"/>
      <c r="K51" s="96"/>
      <c r="L51" s="96"/>
      <c r="M51" s="96"/>
      <c r="N51" s="96"/>
      <c r="O51" s="96"/>
      <c r="P51" s="96"/>
      <c r="Q51" s="96"/>
      <c r="R51" s="96"/>
      <c r="S51" s="96"/>
    </row>
    <row r="52" spans="1:19">
      <c r="A52" s="96"/>
      <c r="B52" s="96"/>
      <c r="C52" s="96"/>
      <c r="D52" s="18">
        <v>114710</v>
      </c>
      <c r="E52" s="122" t="s">
        <v>4672</v>
      </c>
      <c r="F52" s="114" t="s">
        <v>25</v>
      </c>
      <c r="G52" s="41" t="s">
        <v>25</v>
      </c>
      <c r="H52" s="96"/>
      <c r="I52" s="96"/>
      <c r="J52" s="96"/>
      <c r="K52" s="96"/>
      <c r="L52" s="96"/>
      <c r="M52" s="96"/>
      <c r="N52" s="96"/>
      <c r="O52" s="96"/>
      <c r="P52" s="96"/>
      <c r="Q52" s="96"/>
      <c r="R52" s="96"/>
      <c r="S52" s="96"/>
    </row>
    <row r="53" spans="1:19">
      <c r="A53" s="96"/>
      <c r="B53" s="96"/>
      <c r="C53" s="96"/>
      <c r="D53" s="18">
        <v>55120</v>
      </c>
      <c r="E53" s="122" t="s">
        <v>4687</v>
      </c>
      <c r="F53" s="114"/>
      <c r="G53" s="41"/>
      <c r="H53" s="96"/>
      <c r="I53" s="96"/>
      <c r="J53" s="96"/>
      <c r="K53" s="96"/>
      <c r="L53" s="96"/>
      <c r="M53" s="96"/>
      <c r="N53" s="96"/>
      <c r="O53" s="96"/>
      <c r="P53" s="96"/>
      <c r="Q53" s="96"/>
      <c r="R53" s="96"/>
      <c r="S53" s="96"/>
    </row>
    <row r="54" spans="1:19">
      <c r="A54" s="96"/>
      <c r="B54" s="96"/>
      <c r="C54" s="96"/>
      <c r="D54" s="18">
        <v>115000</v>
      </c>
      <c r="E54" s="122" t="s">
        <v>4692</v>
      </c>
      <c r="F54" s="114"/>
      <c r="G54" s="41"/>
      <c r="H54" s="96"/>
      <c r="I54" s="96"/>
      <c r="J54" s="96"/>
      <c r="K54" s="96"/>
      <c r="L54" s="96"/>
      <c r="M54" s="96"/>
      <c r="N54" s="96"/>
      <c r="O54" s="96"/>
      <c r="P54" s="96"/>
      <c r="Q54" s="96"/>
      <c r="R54" s="96"/>
      <c r="S54" s="96"/>
    </row>
    <row r="55" spans="1:19">
      <c r="A55" s="96"/>
      <c r="B55" s="96"/>
      <c r="C55" s="96"/>
      <c r="D55" s="18">
        <v>247560</v>
      </c>
      <c r="E55" s="122" t="s">
        <v>4693</v>
      </c>
      <c r="F55" s="114"/>
      <c r="G55" s="41"/>
      <c r="H55" s="96"/>
      <c r="I55" s="96"/>
      <c r="J55" s="96"/>
      <c r="K55" s="96"/>
      <c r="L55" s="96"/>
      <c r="M55" s="96"/>
      <c r="N55" s="96"/>
      <c r="O55" s="96"/>
      <c r="P55" s="96"/>
      <c r="Q55" s="96"/>
      <c r="R55" s="96"/>
      <c r="S55" s="96"/>
    </row>
    <row r="56" spans="1:19">
      <c r="A56" s="96"/>
      <c r="B56" s="96"/>
      <c r="C56" s="96"/>
      <c r="D56" s="18">
        <v>77187</v>
      </c>
      <c r="E56" s="122" t="s">
        <v>4694</v>
      </c>
      <c r="F56" s="96"/>
      <c r="G56" s="96"/>
      <c r="H56" s="96" t="s">
        <v>25</v>
      </c>
      <c r="I56" s="96"/>
      <c r="J56" s="96"/>
      <c r="K56" s="96"/>
      <c r="L56" s="96"/>
      <c r="M56" s="96"/>
      <c r="N56" s="96"/>
      <c r="O56" s="96"/>
      <c r="P56" s="96"/>
      <c r="Q56" s="96"/>
      <c r="R56" s="96"/>
      <c r="S56" s="96"/>
    </row>
    <row r="57" spans="1:19">
      <c r="A57" s="96"/>
      <c r="B57" s="96"/>
      <c r="C57" s="96"/>
      <c r="D57" s="18">
        <v>-140000</v>
      </c>
      <c r="E57" s="122" t="s">
        <v>4697</v>
      </c>
      <c r="F57" s="96"/>
      <c r="G57" s="96"/>
      <c r="H57" s="96"/>
      <c r="I57" s="96"/>
      <c r="J57" s="96"/>
      <c r="K57" s="96"/>
      <c r="L57" s="96"/>
      <c r="M57" s="96"/>
      <c r="N57" s="96"/>
      <c r="O57" s="96"/>
      <c r="P57" s="96"/>
      <c r="Q57" s="96"/>
      <c r="R57" s="96"/>
      <c r="S57" s="96"/>
    </row>
    <row r="58" spans="1:19">
      <c r="A58" s="96"/>
      <c r="B58" s="96"/>
      <c r="C58" s="96"/>
      <c r="D58" s="18">
        <v>-1600000</v>
      </c>
      <c r="E58" s="122" t="s">
        <v>4698</v>
      </c>
      <c r="F58" s="96"/>
      <c r="G58" s="96"/>
      <c r="H58" s="96"/>
      <c r="I58" s="96"/>
      <c r="J58" s="96"/>
      <c r="K58" s="96"/>
      <c r="L58" s="96"/>
      <c r="M58" s="96"/>
      <c r="N58" s="96"/>
      <c r="O58" s="96"/>
      <c r="P58" s="96"/>
      <c r="Q58" s="96"/>
      <c r="R58" s="96"/>
      <c r="S58" s="96"/>
    </row>
    <row r="59" spans="1:19">
      <c r="A59" s="96"/>
      <c r="B59" s="96"/>
      <c r="C59" s="96"/>
      <c r="D59" s="18">
        <v>-2000</v>
      </c>
      <c r="E59" s="122" t="s">
        <v>4705</v>
      </c>
      <c r="F59" s="96"/>
      <c r="G59" s="96"/>
      <c r="H59" s="96"/>
      <c r="I59" s="96"/>
      <c r="J59" s="96"/>
      <c r="K59" s="96"/>
      <c r="L59" s="96"/>
      <c r="M59" s="96"/>
      <c r="N59" s="96"/>
      <c r="O59" s="96"/>
      <c r="P59" s="96"/>
      <c r="Q59" s="96"/>
      <c r="R59" s="96"/>
      <c r="S59" s="96"/>
    </row>
    <row r="60" spans="1:19">
      <c r="A60" s="96"/>
      <c r="B60" s="96"/>
      <c r="C60" s="96"/>
      <c r="D60" s="18">
        <v>40000</v>
      </c>
      <c r="E60" s="122" t="s">
        <v>4718</v>
      </c>
      <c r="F60" s="96"/>
      <c r="G60" s="96"/>
      <c r="H60" s="96"/>
      <c r="I60" s="96"/>
      <c r="J60" s="96"/>
      <c r="K60" s="96"/>
      <c r="L60" s="96"/>
      <c r="M60" s="96"/>
      <c r="N60" s="96"/>
      <c r="O60" s="96"/>
      <c r="P60" s="96"/>
      <c r="Q60" s="96"/>
      <c r="R60" s="96"/>
      <c r="S60" s="96"/>
    </row>
    <row r="61" spans="1:19">
      <c r="A61" s="96"/>
      <c r="B61" s="96"/>
      <c r="C61" s="96"/>
      <c r="D61" s="18">
        <v>-146877</v>
      </c>
      <c r="E61" s="122" t="s">
        <v>4719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4725</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4745</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4753</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4753</v>
      </c>
      <c r="B6" s="18">
        <v>-1866154</v>
      </c>
      <c r="C6" s="18">
        <v>0</v>
      </c>
      <c r="D6" s="113">
        <f t="shared" si="0"/>
        <v>-1866154</v>
      </c>
      <c r="E6" s="19" t="s">
        <v>4759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4753</v>
      </c>
      <c r="B7" s="18">
        <v>-36600</v>
      </c>
      <c r="C7" s="18">
        <v>0</v>
      </c>
      <c r="D7" s="113">
        <f t="shared" si="0"/>
        <v>-36600</v>
      </c>
      <c r="E7" s="19" t="s">
        <v>4760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4761</v>
      </c>
      <c r="B8" s="18">
        <v>-492000</v>
      </c>
      <c r="C8" s="18">
        <v>0</v>
      </c>
      <c r="D8" s="113">
        <f t="shared" si="0"/>
        <v>-492000</v>
      </c>
      <c r="E8" s="19" t="s">
        <v>4762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4761</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4761</v>
      </c>
      <c r="B10" s="18">
        <v>-40000</v>
      </c>
      <c r="C10" s="18">
        <v>0</v>
      </c>
      <c r="D10" s="113">
        <f t="shared" si="0"/>
        <v>-40000</v>
      </c>
      <c r="E10" s="19" t="s">
        <v>4764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4765</v>
      </c>
      <c r="B11" s="18">
        <v>-66000</v>
      </c>
      <c r="C11" s="18">
        <v>0</v>
      </c>
      <c r="D11" s="113">
        <f t="shared" si="0"/>
        <v>-66000</v>
      </c>
      <c r="E11" s="19" t="s">
        <v>4764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4766</v>
      </c>
      <c r="B13" s="18">
        <v>-200500</v>
      </c>
      <c r="C13" s="18">
        <v>0</v>
      </c>
      <c r="D13" s="113">
        <f t="shared" si="0"/>
        <v>-200500</v>
      </c>
      <c r="E13" s="20" t="s">
        <v>4767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4771</v>
      </c>
      <c r="B14" s="18">
        <v>1563000</v>
      </c>
      <c r="C14" s="18">
        <v>0</v>
      </c>
      <c r="D14" s="113">
        <f t="shared" si="0"/>
        <v>1563000</v>
      </c>
      <c r="E14" s="20" t="s">
        <v>4775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4771</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4783</v>
      </c>
      <c r="B16" s="18">
        <v>-20000</v>
      </c>
      <c r="C16" s="18">
        <v>0</v>
      </c>
      <c r="D16" s="113">
        <f t="shared" si="0"/>
        <v>-20000</v>
      </c>
      <c r="E16" s="20" t="s">
        <v>4787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4806</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4815</v>
      </c>
      <c r="B20" s="18">
        <v>400000</v>
      </c>
      <c r="C20" s="18">
        <v>0</v>
      </c>
      <c r="D20" s="113">
        <f t="shared" si="0"/>
        <v>400000</v>
      </c>
      <c r="E20" s="19" t="s">
        <v>4816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4818</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4818</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4818</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4820</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4821</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4821</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4826</v>
      </c>
      <c r="B28" s="18">
        <v>433375</v>
      </c>
      <c r="C28" s="18">
        <v>0</v>
      </c>
      <c r="D28" s="113">
        <f t="shared" si="0"/>
        <v>433375</v>
      </c>
      <c r="E28" s="19" t="s">
        <v>4829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4835</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4835</v>
      </c>
      <c r="B30" s="18">
        <v>-300000</v>
      </c>
      <c r="C30" s="18">
        <v>0</v>
      </c>
      <c r="D30" s="113">
        <f t="shared" si="0"/>
        <v>-300000</v>
      </c>
      <c r="E30" s="19" t="s">
        <v>4838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4723</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4807</v>
      </c>
      <c r="F68" s="96"/>
      <c r="G68" s="96"/>
      <c r="H68" s="96"/>
      <c r="I68" s="96"/>
    </row>
    <row r="69" spans="1:22">
      <c r="A69" s="96"/>
      <c r="B69" s="96"/>
      <c r="C69" s="96"/>
      <c r="D69" s="18">
        <v>-67844</v>
      </c>
      <c r="E69" s="122" t="s">
        <v>4809</v>
      </c>
      <c r="F69" s="96"/>
      <c r="G69" s="96"/>
      <c r="H69" s="96"/>
      <c r="I69" s="96"/>
    </row>
    <row r="70" spans="1:22">
      <c r="D70" s="18">
        <v>-400000</v>
      </c>
      <c r="E70" s="122" t="s">
        <v>4817</v>
      </c>
      <c r="G70" t="s">
        <v>25</v>
      </c>
    </row>
    <row r="71" spans="1:22">
      <c r="D71" s="18">
        <v>463200</v>
      </c>
      <c r="E71" s="122" t="s">
        <v>4819</v>
      </c>
    </row>
    <row r="72" spans="1:22">
      <c r="D72" s="18">
        <v>2000000</v>
      </c>
      <c r="E72" s="96" t="s">
        <v>4822</v>
      </c>
    </row>
    <row r="73" spans="1:22">
      <c r="D73" s="18">
        <v>-280000</v>
      </c>
      <c r="E73" t="s">
        <v>4823</v>
      </c>
    </row>
    <row r="74" spans="1:22">
      <c r="D74" s="18">
        <v>-200000</v>
      </c>
      <c r="E74" s="96" t="s">
        <v>4830</v>
      </c>
    </row>
    <row r="75" spans="1:22">
      <c r="D75" s="18">
        <v>-2000000</v>
      </c>
      <c r="E75" s="96" t="s">
        <v>4836</v>
      </c>
    </row>
    <row r="76" spans="1:22">
      <c r="D76" s="18">
        <v>92800</v>
      </c>
      <c r="E76" s="96" t="s">
        <v>4839</v>
      </c>
    </row>
    <row r="77" spans="1:22">
      <c r="D77" s="18">
        <v>1417727</v>
      </c>
      <c r="E77" s="96" t="s">
        <v>4840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5079</v>
      </c>
      <c r="X20" s="41">
        <v>9194342556</v>
      </c>
      <c r="Y20" s="41">
        <v>200</v>
      </c>
      <c r="Z20" s="41"/>
      <c r="AB20" s="96"/>
      <c r="AC20" s="96"/>
      <c r="AD20" s="96"/>
      <c r="AE20" s="96"/>
      <c r="AF20" s="96"/>
      <c r="AG20" s="96"/>
      <c r="AH20" s="96"/>
      <c r="AI20" s="96"/>
    </row>
    <row r="21" spans="5:35">
      <c r="O21" s="99"/>
      <c r="P21" s="99"/>
      <c r="Q21" s="279" t="s">
        <v>1087</v>
      </c>
      <c r="R21" s="279"/>
      <c r="S21" s="279"/>
      <c r="T21" s="279"/>
      <c r="U21" s="96"/>
      <c r="V21" s="96"/>
      <c r="W21" s="41" t="s">
        <v>5078</v>
      </c>
      <c r="X21" s="41">
        <v>9035210431</v>
      </c>
      <c r="Y21" s="41">
        <v>50</v>
      </c>
      <c r="Z21" s="41"/>
    </row>
    <row r="22" spans="5:35">
      <c r="O22" s="99"/>
      <c r="P22" s="99"/>
      <c r="Q22" s="279"/>
      <c r="R22" s="279"/>
      <c r="S22" s="279"/>
      <c r="T22" s="279"/>
      <c r="U22" s="96"/>
      <c r="V22" s="96"/>
      <c r="W22" s="41" t="s">
        <v>5190</v>
      </c>
      <c r="X22" s="41">
        <v>9909620343</v>
      </c>
      <c r="Y22" s="41">
        <v>100</v>
      </c>
      <c r="Z22" s="41"/>
    </row>
    <row r="23" spans="5:35" ht="15.75">
      <c r="O23" s="178"/>
      <c r="P23" s="99" t="s">
        <v>4084</v>
      </c>
      <c r="Q23" s="280" t="s">
        <v>1088</v>
      </c>
      <c r="R23" s="281" t="s">
        <v>1089</v>
      </c>
      <c r="S23" s="280" t="s">
        <v>1090</v>
      </c>
      <c r="T23" s="282" t="s">
        <v>1091</v>
      </c>
      <c r="W23" s="41" t="s">
        <v>5191</v>
      </c>
      <c r="X23" s="41">
        <v>9378807702</v>
      </c>
      <c r="Y23" s="41">
        <v>0</v>
      </c>
      <c r="Z23" s="41"/>
      <c r="AD23" t="s">
        <v>25</v>
      </c>
    </row>
    <row r="24" spans="5:35">
      <c r="O24" s="99"/>
      <c r="P24" s="99"/>
      <c r="Q24" s="280"/>
      <c r="R24" s="281"/>
      <c r="S24" s="280"/>
      <c r="T24" s="282"/>
      <c r="W24" s="41" t="s">
        <v>5222</v>
      </c>
      <c r="X24" s="41"/>
      <c r="Y24" s="41">
        <v>200</v>
      </c>
      <c r="Z24" s="41">
        <v>2</v>
      </c>
    </row>
    <row r="25" spans="5:35">
      <c r="O25" s="173" t="s">
        <v>4140</v>
      </c>
      <c r="P25" s="173">
        <v>2182188507</v>
      </c>
      <c r="Q25" s="174" t="s">
        <v>1092</v>
      </c>
      <c r="R25" s="174" t="s">
        <v>4085</v>
      </c>
      <c r="S25" s="174" t="s">
        <v>4090</v>
      </c>
      <c r="T25" s="174" t="s">
        <v>1093</v>
      </c>
      <c r="W25" s="41" t="s">
        <v>5251</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4528</v>
      </c>
      <c r="B1" t="s">
        <v>4531</v>
      </c>
      <c r="C1" t="s">
        <v>4532</v>
      </c>
    </row>
    <row r="2" spans="1:3">
      <c r="A2" t="s">
        <v>4529</v>
      </c>
      <c r="B2" t="s">
        <v>4533</v>
      </c>
      <c r="C2" t="s">
        <v>4534</v>
      </c>
    </row>
    <row r="3" spans="1:3">
      <c r="A3" t="s">
        <v>4530</v>
      </c>
      <c r="B3" t="s">
        <v>4532</v>
      </c>
      <c r="C3" t="s">
        <v>4535</v>
      </c>
    </row>
    <row r="5" spans="1:3">
      <c r="A5" t="s">
        <v>4761</v>
      </c>
      <c r="B5" t="s">
        <v>4777</v>
      </c>
    </row>
    <row r="6" spans="1:3">
      <c r="A6" t="s">
        <v>4771</v>
      </c>
      <c r="B6" t="s">
        <v>4778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4708</v>
      </c>
      <c r="C1" s="99" t="s">
        <v>3933</v>
      </c>
      <c r="D1" s="99" t="s">
        <v>8</v>
      </c>
      <c r="E1" s="96"/>
      <c r="F1" s="96"/>
      <c r="G1" s="96"/>
    </row>
    <row r="2" spans="1:7">
      <c r="A2" s="99" t="s">
        <v>4699</v>
      </c>
      <c r="B2" s="95">
        <v>10300</v>
      </c>
      <c r="C2" s="95">
        <v>0</v>
      </c>
      <c r="D2" s="99" t="s">
        <v>4709</v>
      </c>
      <c r="E2" s="96"/>
      <c r="F2" s="96"/>
      <c r="G2" s="96"/>
    </row>
    <row r="3" spans="1:7">
      <c r="A3" s="99" t="s">
        <v>4699</v>
      </c>
      <c r="B3" s="95">
        <v>0</v>
      </c>
      <c r="C3" s="95">
        <v>5500</v>
      </c>
      <c r="D3" s="99" t="s">
        <v>4710</v>
      </c>
      <c r="E3" s="96"/>
      <c r="F3" s="96"/>
      <c r="G3" s="96"/>
    </row>
    <row r="4" spans="1:7">
      <c r="A4" s="99" t="s">
        <v>3682</v>
      </c>
      <c r="B4" s="95">
        <v>0</v>
      </c>
      <c r="C4" s="95">
        <v>1000</v>
      </c>
      <c r="D4" s="99" t="s">
        <v>315</v>
      </c>
      <c r="E4" s="96"/>
      <c r="F4" s="96"/>
      <c r="G4" s="96"/>
    </row>
    <row r="5" spans="1:7">
      <c r="A5" s="99" t="s">
        <v>4716</v>
      </c>
      <c r="B5" s="95">
        <v>0</v>
      </c>
      <c r="C5" s="95">
        <v>1000</v>
      </c>
      <c r="D5" s="99" t="s">
        <v>315</v>
      </c>
      <c r="E5" s="96"/>
      <c r="F5" s="96"/>
      <c r="G5" s="96"/>
    </row>
    <row r="6" spans="1:7">
      <c r="A6" s="99" t="s">
        <v>4728</v>
      </c>
      <c r="B6" s="95">
        <v>0</v>
      </c>
      <c r="C6" s="95">
        <v>3000</v>
      </c>
      <c r="D6" s="99" t="s">
        <v>4732</v>
      </c>
      <c r="E6" s="96"/>
      <c r="F6" s="96"/>
      <c r="G6" s="96"/>
    </row>
    <row r="7" spans="1:7">
      <c r="A7" s="99" t="s">
        <v>4728</v>
      </c>
      <c r="B7" s="95">
        <v>9200</v>
      </c>
      <c r="C7" s="95">
        <v>0</v>
      </c>
      <c r="D7" s="99" t="s">
        <v>4709</v>
      </c>
      <c r="E7" s="96"/>
      <c r="F7" s="96"/>
      <c r="G7" s="96"/>
    </row>
    <row r="8" spans="1:7">
      <c r="A8" s="99" t="s">
        <v>4730</v>
      </c>
      <c r="B8" s="95">
        <v>0</v>
      </c>
      <c r="C8" s="95">
        <v>1000</v>
      </c>
      <c r="D8" s="99" t="s">
        <v>315</v>
      </c>
      <c r="E8" s="96"/>
      <c r="F8" s="96"/>
      <c r="G8" s="96"/>
    </row>
    <row r="9" spans="1:7">
      <c r="A9" s="99" t="s">
        <v>4738</v>
      </c>
      <c r="B9" s="99">
        <v>0</v>
      </c>
      <c r="C9" s="99">
        <v>1000</v>
      </c>
      <c r="D9" s="99" t="s">
        <v>315</v>
      </c>
      <c r="E9" s="96"/>
      <c r="F9" s="96"/>
      <c r="G9" s="96"/>
    </row>
    <row r="10" spans="1:7">
      <c r="A10" s="99" t="s">
        <v>4738</v>
      </c>
      <c r="B10" s="95">
        <v>10200</v>
      </c>
      <c r="C10" s="95">
        <v>0</v>
      </c>
      <c r="D10" s="99" t="s">
        <v>4709</v>
      </c>
      <c r="E10" s="96"/>
      <c r="F10" s="96"/>
      <c r="G10" s="96"/>
    </row>
    <row r="11" spans="1:7">
      <c r="A11" s="99" t="s">
        <v>4753</v>
      </c>
      <c r="B11" s="95">
        <v>0</v>
      </c>
      <c r="C11" s="95">
        <v>1000</v>
      </c>
      <c r="D11" s="99" t="s">
        <v>315</v>
      </c>
      <c r="E11" s="96"/>
      <c r="F11" s="96"/>
      <c r="G11" s="96"/>
    </row>
    <row r="12" spans="1:7">
      <c r="A12" s="99" t="s">
        <v>4770</v>
      </c>
      <c r="B12" s="95">
        <v>0</v>
      </c>
      <c r="C12" s="95">
        <v>1000</v>
      </c>
      <c r="D12" s="99" t="s">
        <v>315</v>
      </c>
      <c r="E12" s="96"/>
      <c r="F12" s="96"/>
      <c r="G12" s="96"/>
    </row>
    <row r="13" spans="1:7">
      <c r="A13" s="99" t="s">
        <v>4771</v>
      </c>
      <c r="B13" s="95">
        <v>0</v>
      </c>
      <c r="C13" s="95">
        <v>1000</v>
      </c>
      <c r="D13" s="99" t="s">
        <v>315</v>
      </c>
      <c r="E13" s="96"/>
      <c r="F13" s="96"/>
      <c r="G13" s="96"/>
    </row>
    <row r="14" spans="1:7">
      <c r="A14" s="99" t="s">
        <v>4799</v>
      </c>
      <c r="B14" s="95">
        <v>0</v>
      </c>
      <c r="C14" s="95">
        <v>1000</v>
      </c>
      <c r="D14" s="99" t="s">
        <v>315</v>
      </c>
      <c r="E14" s="96"/>
      <c r="F14" s="96"/>
      <c r="G14" s="96"/>
    </row>
    <row r="15" spans="1:7">
      <c r="A15" s="99" t="s">
        <v>4783</v>
      </c>
      <c r="B15" s="95">
        <v>0</v>
      </c>
      <c r="C15" s="95">
        <v>1000</v>
      </c>
      <c r="D15" s="99" t="s">
        <v>315</v>
      </c>
      <c r="E15" s="96"/>
      <c r="F15" s="96"/>
      <c r="G15" s="96"/>
    </row>
    <row r="16" spans="1:7">
      <c r="A16" s="99" t="s">
        <v>973</v>
      </c>
      <c r="B16" s="95">
        <v>10200</v>
      </c>
      <c r="C16" s="95">
        <v>0</v>
      </c>
      <c r="D16" s="99" t="s">
        <v>4709</v>
      </c>
      <c r="E16" s="96"/>
      <c r="F16" s="96"/>
      <c r="G16" s="96"/>
    </row>
    <row r="17" spans="1:9">
      <c r="A17" s="99" t="s">
        <v>973</v>
      </c>
      <c r="B17" s="95">
        <v>0</v>
      </c>
      <c r="C17" s="95">
        <v>1500</v>
      </c>
      <c r="D17" s="99" t="s">
        <v>315</v>
      </c>
      <c r="E17" s="96"/>
      <c r="F17" s="96"/>
      <c r="G17" s="96"/>
    </row>
    <row r="18" spans="1:9">
      <c r="A18" s="99" t="s">
        <v>4804</v>
      </c>
      <c r="B18" s="95">
        <v>0</v>
      </c>
      <c r="C18" s="95">
        <v>1000</v>
      </c>
      <c r="D18" s="99" t="s">
        <v>315</v>
      </c>
      <c r="E18" s="96"/>
      <c r="F18" s="96"/>
      <c r="G18" s="96"/>
    </row>
    <row r="19" spans="1:9">
      <c r="A19" s="99" t="s">
        <v>4806</v>
      </c>
      <c r="B19" s="95">
        <v>0</v>
      </c>
      <c r="C19" s="95">
        <v>1000</v>
      </c>
      <c r="D19" s="99" t="s">
        <v>315</v>
      </c>
      <c r="E19" s="96"/>
      <c r="F19" s="96"/>
      <c r="G19" s="96"/>
    </row>
    <row r="20" spans="1:9">
      <c r="A20" s="99" t="s">
        <v>4808</v>
      </c>
      <c r="B20" s="95">
        <v>0</v>
      </c>
      <c r="C20" s="95">
        <v>1000</v>
      </c>
      <c r="D20" s="99" t="s">
        <v>315</v>
      </c>
      <c r="E20" s="96"/>
      <c r="F20" s="96"/>
      <c r="G20" s="96"/>
    </row>
    <row r="21" spans="1:9">
      <c r="A21" s="99" t="s">
        <v>4815</v>
      </c>
      <c r="B21" s="95">
        <v>0</v>
      </c>
      <c r="C21" s="95">
        <v>1000</v>
      </c>
      <c r="D21" s="99" t="s">
        <v>315</v>
      </c>
      <c r="E21" s="96"/>
      <c r="F21" s="96"/>
      <c r="G21" s="96"/>
    </row>
    <row r="22" spans="1:9">
      <c r="A22" s="99" t="s">
        <v>4815</v>
      </c>
      <c r="B22" s="95">
        <v>9600</v>
      </c>
      <c r="C22" s="95">
        <v>0</v>
      </c>
      <c r="D22" s="99" t="s">
        <v>4709</v>
      </c>
      <c r="E22" s="96"/>
      <c r="F22" s="96"/>
      <c r="G22" s="96"/>
      <c r="I22" t="s">
        <v>25</v>
      </c>
    </row>
    <row r="23" spans="1:9">
      <c r="A23" s="99" t="s">
        <v>4821</v>
      </c>
      <c r="B23" s="95">
        <v>0</v>
      </c>
      <c r="C23" s="95">
        <v>1000</v>
      </c>
      <c r="D23" s="99" t="s">
        <v>315</v>
      </c>
      <c r="E23" s="96"/>
      <c r="F23" s="96"/>
      <c r="G23" s="96"/>
    </row>
    <row r="24" spans="1:9">
      <c r="A24" s="99" t="s">
        <v>4826</v>
      </c>
      <c r="B24" s="95">
        <v>0</v>
      </c>
      <c r="C24" s="95">
        <v>1000</v>
      </c>
      <c r="D24" s="99" t="s">
        <v>315</v>
      </c>
      <c r="E24" s="96"/>
      <c r="F24" s="96"/>
      <c r="G24" s="96"/>
    </row>
    <row r="25" spans="1:9">
      <c r="A25" s="99" t="s">
        <v>4835</v>
      </c>
      <c r="B25" s="95">
        <v>0</v>
      </c>
      <c r="C25" s="95">
        <v>1000</v>
      </c>
      <c r="D25" s="99" t="s">
        <v>315</v>
      </c>
    </row>
    <row r="26" spans="1:9">
      <c r="A26" s="99" t="s">
        <v>4862</v>
      </c>
      <c r="B26" s="95">
        <v>0</v>
      </c>
      <c r="C26" s="95">
        <v>12000</v>
      </c>
      <c r="D26" s="99" t="s">
        <v>4870</v>
      </c>
    </row>
    <row r="27" spans="1:9">
      <c r="A27" s="99" t="s">
        <v>4863</v>
      </c>
      <c r="B27" s="95">
        <v>0</v>
      </c>
      <c r="C27" s="95">
        <v>1000</v>
      </c>
      <c r="D27" s="99" t="s">
        <v>315</v>
      </c>
    </row>
    <row r="28" spans="1:9">
      <c r="A28" s="99" t="s">
        <v>4871</v>
      </c>
      <c r="B28" s="95">
        <v>0</v>
      </c>
      <c r="C28" s="95">
        <v>1000</v>
      </c>
      <c r="D28" s="99" t="s">
        <v>315</v>
      </c>
    </row>
    <row r="29" spans="1:9">
      <c r="A29" s="99" t="s">
        <v>4872</v>
      </c>
      <c r="B29" s="95">
        <v>0</v>
      </c>
      <c r="C29" s="95">
        <v>1000</v>
      </c>
      <c r="D29" s="99" t="s">
        <v>315</v>
      </c>
    </row>
    <row r="30" spans="1:9">
      <c r="A30" s="99" t="s">
        <v>4873</v>
      </c>
      <c r="B30" s="95">
        <v>0</v>
      </c>
      <c r="C30" s="95">
        <v>5500</v>
      </c>
      <c r="D30" s="99" t="s">
        <v>4710</v>
      </c>
    </row>
    <row r="31" spans="1:9">
      <c r="A31" s="99" t="s">
        <v>4873</v>
      </c>
      <c r="B31" s="95">
        <v>11000</v>
      </c>
      <c r="C31" s="95">
        <v>0</v>
      </c>
      <c r="D31" s="99" t="s">
        <v>4709</v>
      </c>
    </row>
    <row r="32" spans="1:9">
      <c r="A32" s="99" t="s">
        <v>4881</v>
      </c>
      <c r="B32" s="95">
        <v>0</v>
      </c>
      <c r="C32" s="95">
        <v>1000</v>
      </c>
      <c r="D32" s="99" t="s">
        <v>315</v>
      </c>
      <c r="H32" t="s">
        <v>25</v>
      </c>
    </row>
    <row r="33" spans="1:10">
      <c r="A33" s="99" t="s">
        <v>4882</v>
      </c>
      <c r="B33" s="95">
        <v>0</v>
      </c>
      <c r="C33" s="95">
        <v>1000</v>
      </c>
      <c r="D33" s="99" t="s">
        <v>315</v>
      </c>
      <c r="H33" t="s">
        <v>25</v>
      </c>
    </row>
    <row r="34" spans="1:10">
      <c r="A34" s="99" t="s">
        <v>4884</v>
      </c>
      <c r="B34" s="95">
        <v>0</v>
      </c>
      <c r="C34" s="95">
        <v>1000</v>
      </c>
      <c r="D34" s="99" t="s">
        <v>315</v>
      </c>
    </row>
    <row r="35" spans="1:10">
      <c r="A35" s="99" t="s">
        <v>4885</v>
      </c>
      <c r="B35" s="95">
        <v>0</v>
      </c>
      <c r="C35" s="95">
        <v>1000</v>
      </c>
      <c r="D35" s="99" t="s">
        <v>315</v>
      </c>
      <c r="J35" t="s">
        <v>25</v>
      </c>
    </row>
    <row r="36" spans="1:10">
      <c r="A36" s="99" t="s">
        <v>4890</v>
      </c>
      <c r="B36" s="95">
        <v>1000</v>
      </c>
      <c r="C36" s="95">
        <v>0</v>
      </c>
      <c r="D36" s="99" t="s">
        <v>315</v>
      </c>
    </row>
    <row r="37" spans="1:10">
      <c r="A37" s="99" t="s">
        <v>4890</v>
      </c>
      <c r="B37" s="95">
        <v>0</v>
      </c>
      <c r="C37" s="95">
        <v>11200</v>
      </c>
      <c r="D37" s="99" t="s">
        <v>4709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4730</v>
      </c>
      <c r="B48" s="224">
        <v>6700</v>
      </c>
      <c r="C48" s="224">
        <v>0</v>
      </c>
      <c r="D48" s="23" t="s">
        <v>4733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2019-10-20T17:08:43Z</dcterms:modified>
</cp:coreProperties>
</file>