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160" i="18" l="1"/>
  <c r="W160" i="18" s="1"/>
  <c r="S160" i="18"/>
  <c r="V159" i="18"/>
  <c r="W159" i="18" s="1"/>
  <c r="S159" i="18"/>
  <c r="L48" i="18"/>
  <c r="L54" i="18"/>
  <c r="P28" i="18"/>
  <c r="N28" i="18" s="1"/>
  <c r="P34" i="18"/>
  <c r="N34" i="18" s="1"/>
  <c r="N51" i="18"/>
  <c r="N52" i="18"/>
  <c r="N53" i="18"/>
  <c r="P174" i="18"/>
  <c r="W299" i="18"/>
  <c r="D96" i="58"/>
  <c r="X160" i="18" l="1"/>
  <c r="X159" i="18"/>
  <c r="W298" i="18"/>
  <c r="AB92" i="52"/>
  <c r="AC92" i="52" l="1"/>
  <c r="AB102" i="52"/>
  <c r="AB99" i="52"/>
  <c r="P24" i="18"/>
  <c r="N24" i="18" s="1"/>
  <c r="U303" i="18" l="1"/>
  <c r="J195" i="52"/>
  <c r="O195" i="52"/>
  <c r="J194" i="52"/>
  <c r="W297" i="18"/>
  <c r="O13" i="18"/>
  <c r="D86" i="52"/>
  <c r="P46" i="60"/>
  <c r="N194" i="52" l="1"/>
  <c r="W296" i="18"/>
  <c r="W295" i="18"/>
  <c r="AB91" i="52"/>
  <c r="AC91" i="52" l="1"/>
  <c r="AB90" i="52"/>
  <c r="W294" i="18"/>
  <c r="AB89" i="52"/>
  <c r="AC89" i="52" s="1"/>
  <c r="AC90" i="52" l="1"/>
  <c r="R168" i="18"/>
  <c r="W293" i="18" l="1"/>
  <c r="G135" i="18" l="1"/>
  <c r="J135" i="18" s="1"/>
  <c r="G134" i="18"/>
  <c r="J134" i="18" s="1"/>
  <c r="W292" i="18"/>
  <c r="O190" i="52"/>
  <c r="J190" i="52"/>
  <c r="W291" i="18" l="1"/>
  <c r="AB88" i="52"/>
  <c r="AC88" i="52" l="1"/>
  <c r="N57" i="18"/>
  <c r="P27" i="18"/>
  <c r="N27" i="18" s="1"/>
  <c r="P26" i="18"/>
  <c r="N26" i="18" s="1"/>
  <c r="N55" i="18"/>
  <c r="O187" i="52" l="1"/>
  <c r="W290" i="18"/>
  <c r="J186" i="52" l="1"/>
  <c r="W289" i="18"/>
  <c r="W277" i="18"/>
  <c r="W276" i="18"/>
  <c r="J185" i="52" l="1"/>
  <c r="P33" i="18"/>
  <c r="N33" i="18" s="1"/>
  <c r="W288" i="18"/>
  <c r="AB86" i="52" l="1"/>
  <c r="AB87" i="52"/>
  <c r="AB97" i="52"/>
  <c r="AC97" i="52" s="1"/>
  <c r="AB101" i="52" l="1"/>
  <c r="AB100" i="52"/>
  <c r="AC87" i="52"/>
  <c r="AC86" i="52"/>
  <c r="AB85" i="52"/>
  <c r="AC85" i="52" l="1"/>
  <c r="M113" i="18"/>
  <c r="N181" i="52"/>
  <c r="W287" i="18" l="1"/>
  <c r="P25" i="18"/>
  <c r="N25" i="18" s="1"/>
  <c r="B8" i="36"/>
  <c r="O178" i="52" l="1"/>
  <c r="J178" i="52"/>
  <c r="N23" i="18" l="1"/>
  <c r="N50" i="18"/>
  <c r="W286" i="18"/>
  <c r="O177" i="52"/>
  <c r="J177" i="52"/>
  <c r="AB84" i="52"/>
  <c r="AC84" i="52" s="1"/>
  <c r="AB83" i="52" l="1"/>
  <c r="O176" i="52"/>
  <c r="J176" i="52"/>
  <c r="AC83" i="52" l="1"/>
  <c r="AB82" i="52"/>
  <c r="AC82" i="52" l="1"/>
  <c r="J174" i="52"/>
  <c r="W285" i="18"/>
  <c r="AB81" i="52"/>
  <c r="AB80" i="52"/>
  <c r="AC80" i="52" l="1"/>
  <c r="AC81" i="52"/>
  <c r="J168" i="52"/>
  <c r="O168" i="52"/>
  <c r="W284" i="18"/>
  <c r="AL323" i="18" l="1"/>
  <c r="AM323" i="18" s="1"/>
  <c r="O167" i="52"/>
  <c r="W283" i="18"/>
  <c r="AL322" i="18" l="1"/>
  <c r="O166" i="52"/>
  <c r="W282" i="18"/>
  <c r="AL321" i="18" l="1"/>
  <c r="AM322" i="18"/>
  <c r="W281" i="18"/>
  <c r="O165" i="52"/>
  <c r="J165" i="52"/>
  <c r="P22" i="18"/>
  <c r="N22" i="18" s="1"/>
  <c r="AM321" i="18" l="1"/>
  <c r="AL320" i="18"/>
  <c r="C7" i="60"/>
  <c r="D3" i="60"/>
  <c r="D4" i="60"/>
  <c r="D5" i="60"/>
  <c r="D2" i="60"/>
  <c r="F2" i="60"/>
  <c r="AL319" i="18" l="1"/>
  <c r="AM320" i="18"/>
  <c r="AM319" i="18" l="1"/>
  <c r="AL318" i="18"/>
  <c r="O162" i="52"/>
  <c r="J162" i="52"/>
  <c r="AL196" i="18"/>
  <c r="AL195" i="18" s="1"/>
  <c r="W280" i="18"/>
  <c r="AM195" i="18" l="1"/>
  <c r="AL194" i="18"/>
  <c r="AM196" i="18"/>
  <c r="AL317" i="18"/>
  <c r="AM318" i="18"/>
  <c r="N206" i="52"/>
  <c r="N205" i="52"/>
  <c r="N204" i="52"/>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W279" i="18"/>
  <c r="AB78" i="52"/>
  <c r="AC78" i="52" s="1"/>
  <c r="AL191" i="18" l="1"/>
  <c r="AM192" i="18"/>
  <c r="AM315" i="18"/>
  <c r="AL314" i="18"/>
  <c r="W278" i="18"/>
  <c r="AM191" i="18" l="1"/>
  <c r="AL190" i="18"/>
  <c r="AL313" i="18"/>
  <c r="AM314" i="18"/>
  <c r="AF76" i="52"/>
  <c r="AB77" i="52"/>
  <c r="AC77" i="52" s="1"/>
  <c r="AB76" i="52"/>
  <c r="AC76" i="52" s="1"/>
  <c r="AL189" i="18" l="1"/>
  <c r="AM190" i="18"/>
  <c r="AM313" i="18"/>
  <c r="AL312" i="18"/>
  <c r="N159" i="52"/>
  <c r="P160" i="52" s="1"/>
  <c r="W275"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10" i="18"/>
  <c r="AM187" i="18" l="1"/>
  <c r="AL186" i="18"/>
  <c r="AL309" i="18"/>
  <c r="AM310" i="18"/>
  <c r="G127" i="18"/>
  <c r="J127" i="18" s="1"/>
  <c r="J151" i="52"/>
  <c r="AL185" i="18" l="1"/>
  <c r="AM186" i="18"/>
  <c r="AM309" i="18"/>
  <c r="AL308" i="18"/>
  <c r="W274" i="18"/>
  <c r="K116" i="18"/>
  <c r="W273" i="18"/>
  <c r="O150" i="52"/>
  <c r="AM185" i="18" l="1"/>
  <c r="AL184" i="18"/>
  <c r="AL307" i="18"/>
  <c r="AM308" i="18"/>
  <c r="AL183" i="18" l="1"/>
  <c r="AM184" i="18"/>
  <c r="AM307" i="18"/>
  <c r="AL306" i="18"/>
  <c r="AD59" i="52"/>
  <c r="Q146" i="52"/>
  <c r="J146" i="52"/>
  <c r="W27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71" i="18"/>
  <c r="AM181" i="18" l="1"/>
  <c r="AL180" i="18"/>
  <c r="AL303" i="18"/>
  <c r="AM304" i="18"/>
  <c r="G141" i="18"/>
  <c r="J141" i="18" s="1"/>
  <c r="J143" i="18" s="1"/>
  <c r="I143" i="18" s="1"/>
  <c r="G133" i="18"/>
  <c r="J133" i="18" s="1"/>
  <c r="W270" i="18"/>
  <c r="J137" i="18" l="1"/>
  <c r="I137" i="18" s="1"/>
  <c r="AM180" i="18"/>
  <c r="AL179" i="18"/>
  <c r="AM303" i="18"/>
  <c r="AL302" i="18"/>
  <c r="O142" i="52"/>
  <c r="J142" i="52"/>
  <c r="N48" i="18"/>
  <c r="W269" i="18"/>
  <c r="P29" i="18"/>
  <c r="AM179" i="18" l="1"/>
  <c r="AL178" i="18"/>
  <c r="AM178" i="18" s="1"/>
  <c r="AL301" i="18"/>
  <c r="AM302" i="18"/>
  <c r="P32" i="18"/>
  <c r="N32" i="18" s="1"/>
  <c r="O140" i="52"/>
  <c r="J140" i="52"/>
  <c r="W268" i="18"/>
  <c r="AM301" i="18" l="1"/>
  <c r="AL300" i="18"/>
  <c r="W267" i="18"/>
  <c r="W266" i="18"/>
  <c r="O139" i="52"/>
  <c r="J139" i="52"/>
  <c r="AB73" i="52"/>
  <c r="AL299" i="18" l="1"/>
  <c r="AM299" i="18" s="1"/>
  <c r="AM300" i="18"/>
  <c r="AD73" i="52"/>
  <c r="AC73" i="52"/>
  <c r="W265" i="18"/>
  <c r="AB72" i="52" l="1"/>
  <c r="AD72" i="52" s="1"/>
  <c r="AB71" i="52"/>
  <c r="AD71" i="52" s="1"/>
  <c r="AC72" i="52" l="1"/>
  <c r="AC71" i="52"/>
  <c r="M41" i="52"/>
  <c r="O135" i="52" l="1"/>
  <c r="J135" i="52"/>
  <c r="AD57" i="52"/>
  <c r="AB69" i="52"/>
  <c r="AD69" i="52" s="1"/>
  <c r="AB70" i="52"/>
  <c r="AD70" i="52" s="1"/>
  <c r="AC70" i="52" l="1"/>
  <c r="AC69" i="52"/>
  <c r="W264" i="18" l="1"/>
  <c r="O132" i="52" l="1"/>
  <c r="W263" i="18"/>
  <c r="O131" i="52" l="1"/>
  <c r="J3" i="60"/>
  <c r="J4" i="60"/>
  <c r="J5" i="60"/>
  <c r="J2" i="60"/>
  <c r="I9" i="60"/>
  <c r="I7" i="60"/>
  <c r="O130" i="52" l="1"/>
  <c r="O129" i="52"/>
  <c r="W262" i="18"/>
  <c r="S222" i="18"/>
  <c r="W261" i="18"/>
  <c r="N129" i="52" l="1"/>
  <c r="O127" i="52" l="1"/>
  <c r="J126" i="52" l="1"/>
  <c r="O126" i="52"/>
  <c r="W260" i="18"/>
  <c r="O125" i="52" l="1"/>
  <c r="J125" i="52"/>
  <c r="AL298" i="18" l="1"/>
  <c r="W259"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8"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7" i="18"/>
  <c r="AL294" i="18" l="1"/>
  <c r="AM295" i="18"/>
  <c r="AM294" i="18" l="1"/>
  <c r="AL293" i="18"/>
  <c r="O121" i="52"/>
  <c r="J121" i="52"/>
  <c r="W256" i="18"/>
  <c r="AM293" i="18" l="1"/>
  <c r="AL292" i="18"/>
  <c r="W255" i="18"/>
  <c r="J120" i="52"/>
  <c r="M111" i="18"/>
  <c r="AM292" i="18" l="1"/>
  <c r="AL291" i="18"/>
  <c r="AM291" i="18" l="1"/>
  <c r="AL290" i="18"/>
  <c r="O117" i="52"/>
  <c r="AM290" i="18" l="1"/>
  <c r="AL289" i="18"/>
  <c r="O116" i="52"/>
  <c r="N116" i="52"/>
  <c r="AL288" i="18" l="1"/>
  <c r="AM289" i="18"/>
  <c r="W254"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53" i="18"/>
  <c r="J108" i="52"/>
  <c r="AM280" i="18" l="1"/>
  <c r="AL279" i="18"/>
  <c r="D303" i="15"/>
  <c r="F304" i="15"/>
  <c r="W252" i="18"/>
  <c r="W251" i="18"/>
  <c r="AM279" i="18" l="1"/>
  <c r="AL278" i="18"/>
  <c r="F303" i="15"/>
  <c r="D302" i="15"/>
  <c r="O106" i="52"/>
  <c r="J106" i="52"/>
  <c r="D301" i="15" l="1"/>
  <c r="F302" i="15"/>
  <c r="J104" i="52"/>
  <c r="G126" i="18"/>
  <c r="J126" i="18" s="1"/>
  <c r="J129" i="18" s="1"/>
  <c r="E276" i="15"/>
  <c r="E277" i="15"/>
  <c r="E278" i="15"/>
  <c r="E279" i="15"/>
  <c r="E280" i="15"/>
  <c r="D300" i="15" l="1"/>
  <c r="F301" i="15"/>
  <c r="W25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7" i="18"/>
  <c r="J90" i="52"/>
  <c r="J95" i="52"/>
  <c r="W248"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2" i="18"/>
  <c r="O141" i="18"/>
  <c r="O140" i="18"/>
  <c r="AM271" i="18" l="1"/>
  <c r="AL270" i="18"/>
  <c r="D289" i="15"/>
  <c r="F290" i="15"/>
  <c r="P97" i="52"/>
  <c r="P98" i="52"/>
  <c r="P95" i="52"/>
  <c r="P96" i="52"/>
  <c r="P94" i="52"/>
  <c r="P93" i="52"/>
  <c r="O144" i="18"/>
  <c r="N91" i="52"/>
  <c r="P92" i="52" s="1"/>
  <c r="AL269" i="18" l="1"/>
  <c r="AM270" i="18"/>
  <c r="F289" i="15"/>
  <c r="D288" i="15"/>
  <c r="R267" i="18"/>
  <c r="T319" i="18" s="1"/>
  <c r="W247" i="18"/>
  <c r="W246" i="18"/>
  <c r="W245" i="18"/>
  <c r="M48" i="52"/>
  <c r="M47" i="52"/>
  <c r="N38" i="52"/>
  <c r="N37" i="52"/>
  <c r="M49" i="52"/>
  <c r="N50" i="52" s="1"/>
  <c r="AM269" i="18" l="1"/>
  <c r="AL268" i="18"/>
  <c r="D287" i="15"/>
  <c r="F288" i="15"/>
  <c r="N49" i="52"/>
  <c r="W244" i="18"/>
  <c r="AM268" i="18" l="1"/>
  <c r="AL267" i="18"/>
  <c r="F287" i="15"/>
  <c r="D286" i="15"/>
  <c r="I129" i="18" l="1"/>
  <c r="AL266" i="18"/>
  <c r="AM267" i="18"/>
  <c r="D285" i="15"/>
  <c r="F286" i="15"/>
  <c r="W243"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2" i="18"/>
  <c r="AM264" i="18" l="1"/>
  <c r="AL263" i="18"/>
  <c r="F283" i="15"/>
  <c r="D282" i="15"/>
  <c r="G32" i="57"/>
  <c r="H32" i="57"/>
  <c r="D32" i="57"/>
  <c r="I32" i="57" s="1"/>
  <c r="D345" i="20"/>
  <c r="W241" i="18"/>
  <c r="W240" i="18"/>
  <c r="AL262" i="18" l="1"/>
  <c r="AM263" i="18"/>
  <c r="D281" i="15"/>
  <c r="F282" i="15"/>
  <c r="W176" i="18"/>
  <c r="W17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9" i="18"/>
  <c r="D343" i="20"/>
  <c r="F279" i="15" l="1"/>
  <c r="D278" i="15"/>
  <c r="W238" i="18"/>
  <c r="D342" i="20"/>
  <c r="J83" i="52"/>
  <c r="O83" i="52"/>
  <c r="W237" i="18"/>
  <c r="W236" i="18"/>
  <c r="F44" i="14"/>
  <c r="F45" i="14"/>
  <c r="F46" i="14"/>
  <c r="F47" i="14"/>
  <c r="F48" i="14"/>
  <c r="F49" i="14"/>
  <c r="F50" i="14"/>
  <c r="D341" i="20"/>
  <c r="F278" i="15" l="1"/>
  <c r="D277" i="15"/>
  <c r="AJ324" i="18"/>
  <c r="D276" i="15" l="1"/>
  <c r="F276" i="15" s="1"/>
  <c r="F277" i="15"/>
  <c r="W235" i="18"/>
  <c r="D340" i="20" l="1"/>
  <c r="W234" i="18"/>
  <c r="H337" i="20"/>
  <c r="H338" i="20"/>
  <c r="H339" i="20"/>
  <c r="H340" i="20"/>
  <c r="H341" i="20"/>
  <c r="H368" i="20"/>
  <c r="H369" i="20"/>
  <c r="D339" i="20"/>
  <c r="B371" i="20" l="1"/>
  <c r="D332" i="20"/>
  <c r="D333" i="20"/>
  <c r="D334" i="20"/>
  <c r="D335" i="20"/>
  <c r="D336" i="20"/>
  <c r="D337" i="20"/>
  <c r="D338" i="20"/>
  <c r="D369" i="20"/>
  <c r="W233" i="18" l="1"/>
  <c r="D80" i="57"/>
  <c r="AD46" i="52" l="1"/>
  <c r="AE46" i="52"/>
  <c r="G46" i="10"/>
  <c r="D331" i="20" l="1"/>
  <c r="D330" i="20" l="1"/>
  <c r="W232" i="18" l="1"/>
  <c r="W23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0" i="18" l="1"/>
  <c r="W229" i="18"/>
  <c r="Z40" i="52" l="1"/>
  <c r="Z39" i="52"/>
  <c r="Z38" i="52"/>
  <c r="AD38" i="52"/>
  <c r="AD39" i="52"/>
  <c r="AD40" i="52"/>
  <c r="AE40" i="52"/>
  <c r="AE39" i="52"/>
  <c r="AE38" i="52"/>
  <c r="R19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8" i="18"/>
  <c r="W227" i="18"/>
  <c r="L40" i="18"/>
  <c r="N36" i="52"/>
  <c r="N35" i="52"/>
  <c r="Q42" i="52"/>
  <c r="AD37" i="52"/>
  <c r="AD36" i="52"/>
  <c r="AD35" i="52"/>
  <c r="AD34" i="52"/>
  <c r="AD33" i="52"/>
  <c r="Z37" i="52"/>
  <c r="Z36" i="52"/>
  <c r="Z35" i="52"/>
  <c r="Z34" i="52"/>
  <c r="Z33" i="52"/>
  <c r="AE37" i="52"/>
  <c r="AE36" i="52"/>
  <c r="AE35" i="52"/>
  <c r="AE34" i="52"/>
  <c r="AE33" i="52"/>
  <c r="W226" i="18" l="1"/>
  <c r="W22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4" i="18" l="1"/>
  <c r="W223" i="18"/>
  <c r="AD31" i="52"/>
  <c r="AD30" i="52"/>
  <c r="Z31" i="52"/>
  <c r="Z30" i="52"/>
  <c r="AE31" i="52"/>
  <c r="AE30" i="52"/>
  <c r="AD29" i="52"/>
  <c r="Z29" i="52"/>
  <c r="AE29" i="52"/>
  <c r="AD28" i="52"/>
  <c r="Z28" i="52"/>
  <c r="AE28" i="52"/>
  <c r="N32" i="52"/>
  <c r="N31" i="52"/>
  <c r="W222" i="18" l="1"/>
  <c r="W221" i="18"/>
  <c r="N30" i="52"/>
  <c r="N29" i="52"/>
  <c r="AD27" i="52"/>
  <c r="Z27" i="52"/>
  <c r="AE27" i="52"/>
  <c r="W220" i="18" l="1"/>
  <c r="W219" i="18"/>
  <c r="N28" i="52"/>
  <c r="N27" i="52"/>
  <c r="AD26" i="52" l="1"/>
  <c r="AE26" i="52"/>
  <c r="AL259" i="18" l="1"/>
  <c r="D313" i="20"/>
  <c r="AL258" i="18" l="1"/>
  <c r="AM259" i="18"/>
  <c r="L117" i="18"/>
  <c r="L114" i="18" s="1"/>
  <c r="N114" i="18" s="1"/>
  <c r="L113" i="18" l="1"/>
  <c r="M117" i="18"/>
  <c r="AM258" i="18"/>
  <c r="AL257" i="18"/>
  <c r="L109" i="18"/>
  <c r="W218" i="18"/>
  <c r="W217" i="18"/>
  <c r="N24" i="52"/>
  <c r="N26" i="52"/>
  <c r="N25" i="52"/>
  <c r="AL256" i="18" l="1"/>
  <c r="AM257" i="18"/>
  <c r="L11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6" i="18"/>
  <c r="W215" i="18"/>
  <c r="N23" i="52"/>
  <c r="N22" i="52"/>
  <c r="Z24" i="52"/>
  <c r="AD24" i="52"/>
  <c r="AE24" i="52"/>
  <c r="I368" i="20" l="1"/>
  <c r="G367" i="20"/>
  <c r="J368" i="20"/>
  <c r="K368" i="20"/>
  <c r="AL254" i="18"/>
  <c r="AM255" i="18"/>
  <c r="W214" i="18"/>
  <c r="W213"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12" i="18"/>
  <c r="W211"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2" i="18"/>
  <c r="F112" i="18" s="1"/>
  <c r="G109" i="18"/>
  <c r="F109"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10" i="18"/>
  <c r="W209" i="18"/>
  <c r="AD17" i="52"/>
  <c r="Z17" i="52"/>
  <c r="AE17" i="52"/>
  <c r="AD16" i="52"/>
  <c r="Z16" i="52"/>
  <c r="AE16" i="52"/>
  <c r="N17" i="52"/>
  <c r="N16" i="52"/>
  <c r="AL170" i="18" l="1"/>
  <c r="AM171" i="18"/>
  <c r="I356" i="20"/>
  <c r="G355" i="20"/>
  <c r="J356" i="20"/>
  <c r="K356" i="20"/>
  <c r="L110" i="18"/>
  <c r="L112" i="18"/>
  <c r="AL169" i="18" l="1"/>
  <c r="AL168" i="18" s="1"/>
  <c r="AM170" i="18"/>
  <c r="J355" i="20"/>
  <c r="I355" i="20"/>
  <c r="G354" i="20"/>
  <c r="K355" i="20"/>
  <c r="W208" i="18"/>
  <c r="W207" i="18"/>
  <c r="D303" i="20"/>
  <c r="D302" i="20"/>
  <c r="W206"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4" i="18"/>
  <c r="AL163" i="18" l="1"/>
  <c r="AM164" i="18"/>
  <c r="I350" i="20"/>
  <c r="J350" i="20"/>
  <c r="K350" i="20"/>
  <c r="G349" i="20"/>
  <c r="AD14" i="52"/>
  <c r="AE14" i="52"/>
  <c r="AD13" i="52"/>
  <c r="AE13" i="52"/>
  <c r="Z14" i="52"/>
  <c r="D296" i="20"/>
  <c r="D295" i="20"/>
  <c r="AM163" i="18" l="1"/>
  <c r="AL162" i="18"/>
  <c r="K349" i="20"/>
  <c r="I349" i="20"/>
  <c r="J349" i="20"/>
  <c r="G348" i="20"/>
  <c r="W203" i="18"/>
  <c r="W202"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201" i="18"/>
  <c r="W200" i="18"/>
  <c r="AM161" i="18" l="1"/>
  <c r="AL160" i="18"/>
  <c r="G346" i="20"/>
  <c r="J347" i="20"/>
  <c r="I347" i="20"/>
  <c r="K347" i="20"/>
  <c r="D293" i="20"/>
  <c r="AL159" i="18" l="1"/>
  <c r="AM160" i="18"/>
  <c r="K346" i="20"/>
  <c r="G345" i="20"/>
  <c r="J346" i="20"/>
  <c r="I346" i="20"/>
  <c r="W199" i="18"/>
  <c r="AM159" i="18" l="1"/>
  <c r="AL158" i="18"/>
  <c r="K345" i="20"/>
  <c r="G344" i="20"/>
  <c r="J345" i="20"/>
  <c r="I345" i="20"/>
  <c r="D292" i="20"/>
  <c r="C8" i="36"/>
  <c r="W19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8"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3" i="18"/>
  <c r="W196" i="18"/>
  <c r="D278" i="20"/>
  <c r="AL140" i="18" l="1"/>
  <c r="AM141" i="18"/>
  <c r="J327" i="20"/>
  <c r="K327" i="20"/>
  <c r="G326" i="20"/>
  <c r="I327" i="20"/>
  <c r="W174"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4" i="18"/>
  <c r="N125" i="18"/>
  <c r="N126" i="18"/>
  <c r="N127" i="18"/>
  <c r="N128" i="18"/>
  <c r="N129" i="18"/>
  <c r="N130" i="18"/>
  <c r="N131" i="18"/>
  <c r="N12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4" i="18"/>
  <c r="AM124" i="18" l="1"/>
  <c r="AL123" i="18"/>
  <c r="AM123" i="18" l="1"/>
  <c r="AL122" i="18"/>
  <c r="AL121" i="18" l="1"/>
  <c r="AM122" i="18"/>
  <c r="W188" i="18"/>
  <c r="W189" i="18"/>
  <c r="W190" i="18"/>
  <c r="W191" i="18"/>
  <c r="W192" i="18"/>
  <c r="W193" i="18"/>
  <c r="W205" i="18"/>
  <c r="W187" i="18"/>
  <c r="AM121" i="18" l="1"/>
  <c r="AL120" i="18"/>
  <c r="N56" i="18"/>
  <c r="AM120" i="18" l="1"/>
  <c r="AL119" i="18"/>
  <c r="AM119" i="18" l="1"/>
  <c r="AL118" i="18"/>
  <c r="T171" i="18"/>
  <c r="S74" i="18"/>
  <c r="S75" i="18" s="1"/>
  <c r="S76" i="18" s="1"/>
  <c r="R192" i="18"/>
  <c r="R190" i="18"/>
  <c r="D57" i="51"/>
  <c r="AL117" i="18" l="1"/>
  <c r="AM118" i="18"/>
  <c r="S77" i="18"/>
  <c r="S78" i="18" s="1"/>
  <c r="AM117" i="18" l="1"/>
  <c r="AL116" i="18"/>
  <c r="S79" i="18"/>
  <c r="S80" i="18" s="1"/>
  <c r="N35" i="18"/>
  <c r="Q100" i="18" l="1"/>
  <c r="R18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AL113" i="18"/>
  <c r="AM114" i="18"/>
  <c r="S20" i="18"/>
  <c r="S21" i="18" s="1"/>
  <c r="S83" i="18" l="1"/>
  <c r="AL112" i="18"/>
  <c r="AM113" i="18"/>
  <c r="N49" i="18"/>
  <c r="M112" i="18" s="1"/>
  <c r="S84" i="18" l="1"/>
  <c r="S85" i="18" s="1"/>
  <c r="N112" i="18"/>
  <c r="AM112" i="18"/>
  <c r="AL111" i="18"/>
  <c r="D108" i="50"/>
  <c r="S86" i="18" l="1"/>
  <c r="AL110" i="18"/>
  <c r="AM111" i="18"/>
  <c r="S87" i="18" l="1"/>
  <c r="S88" i="18" s="1"/>
  <c r="AL109" i="18"/>
  <c r="AM110" i="18"/>
  <c r="S89" i="18" l="1"/>
  <c r="S90" i="18" s="1"/>
  <c r="S91" i="18" s="1"/>
  <c r="S92" i="18" s="1"/>
  <c r="S93" i="18" s="1"/>
  <c r="S94" i="18" s="1"/>
  <c r="S95" i="18" s="1"/>
  <c r="S96" i="18" s="1"/>
  <c r="S97" i="18" s="1"/>
  <c r="S98" i="18" s="1"/>
  <c r="N111" i="18"/>
  <c r="AL108" i="18"/>
  <c r="AM109" i="18"/>
  <c r="N22" i="33"/>
  <c r="R22" i="33" s="1"/>
  <c r="E22" i="33" l="1"/>
  <c r="AL107" i="18"/>
  <c r="AM108" i="18"/>
  <c r="C22" i="33"/>
  <c r="J22" i="33"/>
  <c r="F22" i="33"/>
  <c r="B22" i="33"/>
  <c r="I22" i="33"/>
  <c r="L22" i="33"/>
  <c r="H22" i="33"/>
  <c r="D22" i="33"/>
  <c r="K22" i="33"/>
  <c r="G22" i="33"/>
  <c r="AM107" i="18" l="1"/>
  <c r="AL106" i="18"/>
  <c r="AL105" i="18" l="1"/>
  <c r="AM106" i="18"/>
  <c r="N113" i="18" l="1"/>
  <c r="AL104" i="18"/>
  <c r="AM105" i="18"/>
  <c r="AL237" i="18"/>
  <c r="AM238" i="18"/>
  <c r="AL103" i="18" l="1"/>
  <c r="AM104" i="18"/>
  <c r="AL236" i="18"/>
  <c r="AM237" i="18"/>
  <c r="AL102" i="18" l="1"/>
  <c r="AM103" i="18"/>
  <c r="AL235" i="18"/>
  <c r="AM236" i="18"/>
  <c r="S22" i="18"/>
  <c r="S23" i="18" s="1"/>
  <c r="N81"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10"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9" i="18" l="1"/>
  <c r="R188"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12" i="18"/>
  <c r="S113" i="18" s="1"/>
  <c r="S114" i="18" s="1"/>
  <c r="S54" i="18" l="1"/>
  <c r="S55" i="18" s="1"/>
  <c r="S56" i="18" s="1"/>
  <c r="AL85" i="18"/>
  <c r="AM86" i="18"/>
  <c r="S115" i="18"/>
  <c r="S116" i="18" s="1"/>
  <c r="AL218" i="18"/>
  <c r="AM219" i="18"/>
  <c r="N25" i="33"/>
  <c r="N24" i="33"/>
  <c r="N21" i="33"/>
  <c r="N20" i="33"/>
  <c r="N19" i="33"/>
  <c r="N18" i="33"/>
  <c r="L18" i="33" s="1"/>
  <c r="N17" i="33"/>
  <c r="N9" i="33"/>
  <c r="N3" i="33"/>
  <c r="N4" i="33"/>
  <c r="S57" i="18" l="1"/>
  <c r="S58" i="18" s="1"/>
  <c r="S59" i="18" s="1"/>
  <c r="S60" i="18" s="1"/>
  <c r="S61" i="18" s="1"/>
  <c r="S62" i="18" s="1"/>
  <c r="S63" i="18" s="1"/>
  <c r="S64" i="18" s="1"/>
  <c r="S65" i="18" s="1"/>
  <c r="S66" i="18" s="1"/>
  <c r="AL84" i="18"/>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4" i="18"/>
  <c r="R187" i="18" s="1"/>
  <c r="S124" i="18" l="1"/>
  <c r="S125" i="18" s="1"/>
  <c r="S126" i="18" s="1"/>
  <c r="Q163" i="18"/>
  <c r="R200" i="18"/>
  <c r="M109" i="18"/>
  <c r="N109" i="18" s="1"/>
  <c r="N117" i="18" s="1"/>
  <c r="AJ203" i="18"/>
  <c r="AJ204" i="18" s="1"/>
  <c r="G305" i="20"/>
  <c r="I306" i="20"/>
  <c r="K306" i="20"/>
  <c r="J306" i="20"/>
  <c r="AL74" i="18"/>
  <c r="AM75" i="18"/>
  <c r="U319" i="18" l="1"/>
  <c r="T306" i="18"/>
  <c r="V309" i="18" s="1"/>
  <c r="G304" i="20"/>
  <c r="I305" i="20"/>
  <c r="K305" i="20"/>
  <c r="J305" i="20"/>
  <c r="AL73" i="18"/>
  <c r="AM74" i="18"/>
  <c r="R104" i="18"/>
  <c r="V98" i="18" s="1"/>
  <c r="W98" i="18" l="1"/>
  <c r="X98" i="18"/>
  <c r="V65" i="18"/>
  <c r="V66" i="18"/>
  <c r="V67" i="18"/>
  <c r="V68" i="18"/>
  <c r="V64" i="18"/>
  <c r="X64" i="18" s="1"/>
  <c r="V97" i="18"/>
  <c r="V62" i="18"/>
  <c r="W62" i="18" s="1"/>
  <c r="V63" i="18"/>
  <c r="V61" i="18"/>
  <c r="V60" i="18"/>
  <c r="V59" i="18"/>
  <c r="W59" i="18" s="1"/>
  <c r="V57" i="18"/>
  <c r="W57" i="18" s="1"/>
  <c r="V58" i="18"/>
  <c r="V56" i="18"/>
  <c r="V96" i="18"/>
  <c r="W96" i="18" s="1"/>
  <c r="V94" i="18"/>
  <c r="W94" i="18" s="1"/>
  <c r="V95" i="18"/>
  <c r="V54" i="18"/>
  <c r="W54" i="18" s="1"/>
  <c r="V55" i="18"/>
  <c r="V53" i="18"/>
  <c r="V52" i="18"/>
  <c r="V51" i="18"/>
  <c r="V50" i="18"/>
  <c r="V49" i="18"/>
  <c r="V48" i="18"/>
  <c r="W48" i="18" s="1"/>
  <c r="V47" i="18"/>
  <c r="W47" i="18" s="1"/>
  <c r="V93" i="18"/>
  <c r="V92" i="18"/>
  <c r="V91" i="18"/>
  <c r="X91" i="18" s="1"/>
  <c r="V46" i="18"/>
  <c r="V90" i="18"/>
  <c r="W90" i="18" s="1"/>
  <c r="V45" i="18"/>
  <c r="V89" i="18"/>
  <c r="V44" i="18"/>
  <c r="W44" i="18" s="1"/>
  <c r="V88" i="18"/>
  <c r="V87" i="18"/>
  <c r="W87" i="18" s="1"/>
  <c r="V43" i="18"/>
  <c r="V42" i="18"/>
  <c r="X42" i="18" s="1"/>
  <c r="V86" i="18"/>
  <c r="S176" i="18"/>
  <c r="V40" i="18"/>
  <c r="W40" i="18" s="1"/>
  <c r="V41" i="18"/>
  <c r="V85" i="18"/>
  <c r="W85" i="18" s="1"/>
  <c r="V39" i="18"/>
  <c r="V108" i="18"/>
  <c r="V84" i="18"/>
  <c r="V83" i="18"/>
  <c r="V82" i="18"/>
  <c r="W82" i="18" s="1"/>
  <c r="V38" i="18"/>
  <c r="V37" i="18"/>
  <c r="V36" i="18"/>
  <c r="S127" i="18"/>
  <c r="V35" i="18"/>
  <c r="V34" i="18"/>
  <c r="W34" i="18" s="1"/>
  <c r="V81" i="18"/>
  <c r="V80" i="18"/>
  <c r="V33" i="18"/>
  <c r="V32" i="18"/>
  <c r="V31" i="18"/>
  <c r="V29" i="18"/>
  <c r="W29" i="18" s="1"/>
  <c r="V30" i="18"/>
  <c r="V28" i="18"/>
  <c r="X28" i="18" s="1"/>
  <c r="G303" i="20"/>
  <c r="K304" i="20"/>
  <c r="I304" i="20"/>
  <c r="J304" i="20"/>
  <c r="V319" i="18"/>
  <c r="V27" i="18"/>
  <c r="W27" i="18" s="1"/>
  <c r="V125" i="18"/>
  <c r="V162" i="18"/>
  <c r="V124" i="18"/>
  <c r="V26" i="18"/>
  <c r="W26" i="18" s="1"/>
  <c r="V79" i="18"/>
  <c r="V122" i="18"/>
  <c r="W122" i="18" s="1"/>
  <c r="V123" i="18"/>
  <c r="V120" i="18"/>
  <c r="W120" i="18" s="1"/>
  <c r="V121" i="18"/>
  <c r="V119" i="18"/>
  <c r="W119" i="18" s="1"/>
  <c r="V25" i="18"/>
  <c r="V24" i="18"/>
  <c r="W24" i="18" s="1"/>
  <c r="V78" i="18"/>
  <c r="V23" i="18"/>
  <c r="X23" i="18" s="1"/>
  <c r="V77" i="18"/>
  <c r="V99" i="18"/>
  <c r="V76" i="18"/>
  <c r="V118" i="18"/>
  <c r="V75" i="18"/>
  <c r="V117" i="18"/>
  <c r="V22" i="18"/>
  <c r="V116" i="18"/>
  <c r="V21" i="18"/>
  <c r="V115" i="18"/>
  <c r="V114" i="18"/>
  <c r="V113" i="18"/>
  <c r="V111" i="18"/>
  <c r="V112" i="18"/>
  <c r="V20" i="18"/>
  <c r="V109" i="18"/>
  <c r="V110" i="18"/>
  <c r="AL72" i="18"/>
  <c r="AM73" i="18"/>
  <c r="W68" i="18" l="1"/>
  <c r="X68" i="18"/>
  <c r="X67" i="18"/>
  <c r="W67" i="18"/>
  <c r="W66" i="18"/>
  <c r="X66" i="18"/>
  <c r="W65" i="18"/>
  <c r="X65" i="18"/>
  <c r="W64" i="18"/>
  <c r="W97" i="18"/>
  <c r="X97" i="18"/>
  <c r="X62" i="18"/>
  <c r="W63" i="18"/>
  <c r="X63" i="18"/>
  <c r="W60" i="18"/>
  <c r="X60" i="18"/>
  <c r="W61" i="18"/>
  <c r="X61" i="18"/>
  <c r="X59" i="18"/>
  <c r="X57" i="18"/>
  <c r="W58" i="18"/>
  <c r="X58" i="18"/>
  <c r="W56" i="18"/>
  <c r="X56" i="18"/>
  <c r="X96" i="18"/>
  <c r="X94" i="18"/>
  <c r="W95" i="18"/>
  <c r="X95" i="18"/>
  <c r="X54" i="18"/>
  <c r="W55" i="18"/>
  <c r="X55" i="18"/>
  <c r="W53" i="18"/>
  <c r="X53" i="18"/>
  <c r="W51" i="18"/>
  <c r="X51" i="18"/>
  <c r="W52" i="18"/>
  <c r="X52" i="18"/>
  <c r="W50" i="18"/>
  <c r="X50" i="18"/>
  <c r="W49" i="18"/>
  <c r="X49" i="18"/>
  <c r="U176" i="18"/>
  <c r="V176" i="18" s="1"/>
  <c r="X48" i="18"/>
  <c r="X47" i="18"/>
  <c r="W93" i="18"/>
  <c r="X93" i="18"/>
  <c r="W92" i="18"/>
  <c r="X92" i="18"/>
  <c r="W91" i="18"/>
  <c r="X46" i="18"/>
  <c r="W46" i="18"/>
  <c r="X90" i="18"/>
  <c r="X45" i="18"/>
  <c r="W45" i="18"/>
  <c r="W89" i="18"/>
  <c r="X89" i="18"/>
  <c r="X44" i="18"/>
  <c r="X88" i="18"/>
  <c r="W88" i="18"/>
  <c r="X87" i="18"/>
  <c r="X43" i="18"/>
  <c r="W43" i="18"/>
  <c r="W42" i="18"/>
  <c r="W86" i="18"/>
  <c r="X86" i="18"/>
  <c r="X40" i="18"/>
  <c r="W41" i="18"/>
  <c r="X41" i="18"/>
  <c r="X85" i="18"/>
  <c r="W39" i="18"/>
  <c r="X39" i="18"/>
  <c r="W84" i="18"/>
  <c r="X84" i="18"/>
  <c r="W83" i="18"/>
  <c r="X83" i="18"/>
  <c r="X82" i="18"/>
  <c r="W38" i="18"/>
  <c r="X38" i="18"/>
  <c r="W37" i="18"/>
  <c r="X37" i="18"/>
  <c r="X36" i="18"/>
  <c r="W36" i="18"/>
  <c r="V126" i="18"/>
  <c r="X126" i="18" s="1"/>
  <c r="W35" i="18"/>
  <c r="X35" i="18"/>
  <c r="X34" i="18"/>
  <c r="W81" i="18"/>
  <c r="X81" i="18"/>
  <c r="W80" i="18"/>
  <c r="X80" i="18"/>
  <c r="X33" i="18"/>
  <c r="W33" i="18"/>
  <c r="X32" i="18"/>
  <c r="W32" i="18"/>
  <c r="W31" i="18"/>
  <c r="X31" i="18"/>
  <c r="X29" i="18"/>
  <c r="W30" i="18"/>
  <c r="X30" i="18"/>
  <c r="W28" i="18"/>
  <c r="S175" i="18"/>
  <c r="R184" i="18" s="1"/>
  <c r="G302" i="20"/>
  <c r="K303" i="20"/>
  <c r="I303" i="20"/>
  <c r="J303" i="20"/>
  <c r="X27" i="18"/>
  <c r="W162" i="18"/>
  <c r="X162" i="18"/>
  <c r="X125" i="18"/>
  <c r="W125" i="18"/>
  <c r="W124" i="18"/>
  <c r="X124" i="18"/>
  <c r="X26" i="18"/>
  <c r="W79" i="18"/>
  <c r="X79" i="18"/>
  <c r="X122" i="18"/>
  <c r="W123" i="18"/>
  <c r="X123" i="18"/>
  <c r="X120" i="18"/>
  <c r="W121" i="18"/>
  <c r="X121" i="18"/>
  <c r="X119" i="18"/>
  <c r="W25" i="18"/>
  <c r="X25" i="18"/>
  <c r="X24" i="18"/>
  <c r="W78" i="18"/>
  <c r="X78" i="18"/>
  <c r="W23" i="18"/>
  <c r="W77" i="18"/>
  <c r="X77" i="18"/>
  <c r="W76" i="18"/>
  <c r="X76" i="18"/>
  <c r="W99" i="18"/>
  <c r="X99" i="18"/>
  <c r="S174" i="18"/>
  <c r="S173" i="18"/>
  <c r="R183" i="18" s="1"/>
  <c r="W118" i="18"/>
  <c r="X118" i="18"/>
  <c r="X75" i="18"/>
  <c r="W75"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73" i="18" l="1"/>
  <c r="W126" i="18"/>
  <c r="U175" i="18"/>
  <c r="V175" i="18" s="1"/>
  <c r="N38" i="18"/>
  <c r="L21" i="18" s="1"/>
  <c r="U174" i="18"/>
  <c r="V174" i="18" s="1"/>
  <c r="N6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S15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4" i="18"/>
  <c r="S155" i="18" s="1"/>
  <c r="X151" i="18"/>
  <c r="G228" i="20"/>
  <c r="J229" i="20"/>
  <c r="K229" i="20"/>
  <c r="I229" i="20"/>
  <c r="E151" i="13"/>
  <c r="G152" i="13"/>
  <c r="X152" i="18" l="1"/>
  <c r="K228" i="20"/>
  <c r="G227" i="20"/>
  <c r="I228" i="20"/>
  <c r="J228" i="20"/>
  <c r="E150" i="13"/>
  <c r="G151" i="13"/>
  <c r="V153" i="18" l="1"/>
  <c r="W153" i="18" s="1"/>
  <c r="J227" i="20"/>
  <c r="G226" i="20"/>
  <c r="I227" i="20"/>
  <c r="K227" i="20"/>
  <c r="E149" i="13"/>
  <c r="G150" i="13"/>
  <c r="Z32" i="32"/>
  <c r="M45" i="32"/>
  <c r="R45" i="32" s="1"/>
  <c r="S156" i="18" l="1"/>
  <c r="X153" i="18"/>
  <c r="S45" i="32"/>
  <c r="Q45" i="32"/>
  <c r="I226" i="20"/>
  <c r="K226" i="20"/>
  <c r="J226" i="20"/>
  <c r="G225" i="20"/>
  <c r="E148" i="13"/>
  <c r="G149" i="13"/>
  <c r="V155" i="18" l="1"/>
  <c r="W155" i="18" s="1"/>
  <c r="J225" i="20"/>
  <c r="K225" i="20"/>
  <c r="G224" i="20"/>
  <c r="I225" i="20"/>
  <c r="E147" i="13"/>
  <c r="G148" i="13"/>
  <c r="X155" i="18" l="1"/>
  <c r="J224" i="20"/>
  <c r="K224" i="20"/>
  <c r="G223" i="20"/>
  <c r="I224" i="20"/>
  <c r="E146" i="13"/>
  <c r="G147" i="13"/>
  <c r="K47" i="32"/>
  <c r="U47" i="32" s="1"/>
  <c r="U46" i="32"/>
  <c r="S157" i="18" l="1"/>
  <c r="V156" i="18"/>
  <c r="V154" i="18"/>
  <c r="W154"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6" i="18" l="1"/>
  <c r="X156" i="18"/>
  <c r="S158" i="18"/>
  <c r="V158" i="18" s="1"/>
  <c r="V157" i="18"/>
  <c r="X154"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W157" i="18" l="1"/>
  <c r="X157" i="18"/>
  <c r="W158" i="18"/>
  <c r="X158" i="18"/>
  <c r="G220" i="20"/>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7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<sst xmlns="http://schemas.openxmlformats.org/spreadsheetml/2006/main" count="12522" uniqueCount="5293">
  <si>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</si>
  <si>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</si>
  <si>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</si>
  <si>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</si>
  <si>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</si>
  <si>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</si>
  <si>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</si>
  <si>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</si>
  <si>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</si>
  <si>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</si>
  <si>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</si>
  <si>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</si>
  <si>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</si>
  <si>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</si>
  <si>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</si>
  <si>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</si>
  <si>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</si>
  <si>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</si>
  <si>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</si>
  <si>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</si>
  <si>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</si>
  <si>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</si>
  <si>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</si>
  <si>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</si>
  <si>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</si>
  <si>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</si>
  <si>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</si>
  <si>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</si>
  <si>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</si>
  <si>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</si>
  <si>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</si>
  <si>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</si>
  <si>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</si>
  <si>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</si>
  <si>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</si>
  <si>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</si>
  <si>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</si>
  <si>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</si>
  <si>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</si>
  <si>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</si>
  <si>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</si>
  <si>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</si>
  <si>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</si>
  <si>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</si>
  <si>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</si>
  <si>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</si>
  <si>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</si>
  <si>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</si>
  <si>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</si>
  <si>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</si>
  <si>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</si>
  <si>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</si>
  <si>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</si>
  <si>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</si>
  <si>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</si>
  <si>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</si>
  <si>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</si>
  <si>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</si>
  <si>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</si>
  <si>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</si>
  <si>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</si>
  <si>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</si>
  <si>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</si>
  <si>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</si>
  <si>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</si>
  <si>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</si>
  <si>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</si>
  <si>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</si>
  <si>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</si>
  <si>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</si>
  <si>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</si>
  <si>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</si>
  <si>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</si>
  <si>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</si>
  <si>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</si>
  <si>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</si>
  <si>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</si>
  <si>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</si>
  <si>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</si>
  <si>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</si>
  <si>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</si>
  <si>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</si>
  <si>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</si>
  <si>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</si>
  <si>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</si>
  <si>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</si>
  <si>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</si>
  <si>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</si>
  <si>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</si>
  <si>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</si>
  <si>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</si>
  <si>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</si>
  <si>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</si>
  <si>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</si>
  <si>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</si>
  <si>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</si>
  <si>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</si>
  <si>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</si>
  <si>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</si>
  <si>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</si>
  <si>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</si>
  <si>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</si>
  <si>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</si>
  <si>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</si>
  <si>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</si>
  <si>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</si>
  <si>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</si>
  <si>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</si>
  <si>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</si>
  <si>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</si>
  <si>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</si>
  <si>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</si>
  <si>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</si>
  <si>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</si>
  <si>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</si>
  <si>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</si>
  <si>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</si>
  <si>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</si>
  <si>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</si>
  <si>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</si>
  <si>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</si>
  <si>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</si>
  <si>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</si>
  <si>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</si>
  <si>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</si>
  <si>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</si>
  <si>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</si>
  <si>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</si>
  <si>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</si>
  <si>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</si>
  <si>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</si>
  <si>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</si>
  <si>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</si>
  <si>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</si>
  <si>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</si>
  <si>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</si>
  <si>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</si>
  <si>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</si>
  <si>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</si>
  <si>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</si>
  <si>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</si>
  <si>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</si>
  <si>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</si>
  <si>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</si>
  <si>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</si>
  <si>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</si>
  <si>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</si>
  <si>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</si>
  <si>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</si>
  <si>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</si>
  <si>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</si>
  <si>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</si>
  <si>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</si>
  <si>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</si>
  <si>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</si>
  <si>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</si>
  <si>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</si>
  <si>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</si>
  <si>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</si>
  <si>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</si>
  <si>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</si>
  <si>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</si>
  <si>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</si>
  <si>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</si>
  <si>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</si>
  <si>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</si>
  <si>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</si>
  <si>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</si>
  <si>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</si>
  <si>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</si>
  <si>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</si>
  <si>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</si>
  <si>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</si>
  <si>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</si>
  <si>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</si>
  <si>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</si>
  <si>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</si>
  <si>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</si>
  <si>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</si>
  <si>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</si>
  <si>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</si>
  <si>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</si>
  <si>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</si>
  <si>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</si>
  <si>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</si>
  <si>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</si>
  <si>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</si>
  <si>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</si>
  <si>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</si>
  <si>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</si>
  <si>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</si>
  <si>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</si>
  <si>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</si>
  <si>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</si>
  <si>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</si>
  <si>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</si>
  <si>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</si>
  <si>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</si>
  <si>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</si>
  <si>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</si>
  <si>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</si>
  <si>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</si>
  <si>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</si>
  <si>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</si>
  <si>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</si>
  <si>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</si>
  <si>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</si>
  <si>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</si>
  <si>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</si>
  <si>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</si>
  <si>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</si>
  <si>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</si>
  <si>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</si>
  <si>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</si>
  <si>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</si>
  <si>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</si>
  <si>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</si>
  <si>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</si>
  <si>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</si>
  <si>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</si>
  <si>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</si>
  <si>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</si>
  <si>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</si>
  <si>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</si>
  <si>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</si>
  <si>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</si>
  <si>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</si>
  <si>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</si>
  <si>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</si>
  <si>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</si>
  <si>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</si>
  <si>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</si>
  <si>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</si>
  <si>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</si>
  <si>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</si>
  <si>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</si>
  <si>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</si>
  <si>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</si>
  <si>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</si>
  <si>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</si>
  <si>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</si>
  <si>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</si>
  <si>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</si>
  <si>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</si>
  <si>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</si>
  <si>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</si>
  <si>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</si>
  <si>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</si>
  <si>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</si>
  <si>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</si>
  <si>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</si>
  <si>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</si>
  <si>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</si>
  <si>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</si>
  <si>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</si>
  <si>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</si>
  <si>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</si>
  <si>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</si>
  <si>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</si>
  <si>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</si>
  <si>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</si>
  <si>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</si>
  <si>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</si>
  <si>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</si>
  <si>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</si>
  <si>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</si>
  <si>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</si>
  <si>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</si>
  <si>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</si>
  <si>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</si>
  <si>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</si>
  <si>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</si>
  <si>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</si>
  <si>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</si>
  <si>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</si>
  <si>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</si>
  <si>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</si>
  <si>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</si>
  <si>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</si>
  <si>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</si>
  <si>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</si>
  <si>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</si>
  <si>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</si>
  <si>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</si>
  <si>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</si>
  <si>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</si>
  <si>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</si>
  <si>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</si>
  <si>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</si>
  <si>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</si>
  <si>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</si>
  <si>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</si>
  <si>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</si>
  <si>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</si>
  <si>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</si>
  <si>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</si>
  <si>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</si>
  <si>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</si>
  <si>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</si>
  <si>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</si>
  <si>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</si>
  <si>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</si>
  <si>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</si>
  <si>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</si>
  <si>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</si>
  <si>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</si>
  <si>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</si>
  <si>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</si>
  <si>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</si>
  <si>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</si>
  <si>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</si>
  <si>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</si>
  <si>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</si>
  <si>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</si>
  <si>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</si>
  <si>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</si>
  <si>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</si>
  <si>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</si>
  <si>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</si>
  <si>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</si>
  <si>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</si>
  <si>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</si>
  <si>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</si>
  <si>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</si>
  <si>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</si>
  <si>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</si>
  <si>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</si>
  <si>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</si>
  <si>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</si>
  <si>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</si>
  <si>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</si>
  <si>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</si>
  <si>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</si>
  <si>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</si>
  <si>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</si>
  <si>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</si>
  <si>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</si>
  <si>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</si>
  <si>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</si>
  <si>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</si>
  <si>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</si>
  <si>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</si>
  <si>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</si>
  <si>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</si>
  <si>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</si>
  <si>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</si>
  <si>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</si>
  <si>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</si>
  <si>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</si>
  <si>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</si>
  <si>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</si>
  <si>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</si>
  <si>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</si>
  <si>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</si>
  <si>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</si>
  <si>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</si>
  <si>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</si>
  <si>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</si>
  <si>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</si>
  <si>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</si>
  <si>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</si>
  <si>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</si>
  <si>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</si>
  <si>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</si>
  <si>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</si>
  <si>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</si>
  <si>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</si>
  <si>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</si>
  <si>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</si>
  <si>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</si>
  <si>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</si>
  <si>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</si>
  <si>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</si>
  <si>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</si>
  <si>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</si>
  <si>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</si>
  <si>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</si>
  <si>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</si>
  <si>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</si>
  <si>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</si>
  <si>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</si>
  <si>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</si>
  <si>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</si>
  <si>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</si>
  <si>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</si>
  <si>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</si>
  <si>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</si>
  <si>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</si>
  <si>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</si>
  <si>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</si>
  <si>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</si>
  <si>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</si>
  <si>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</si>
  <si>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</si>
  <si>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</si>
  <si>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</si>
  <si>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</si>
  <si>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</si>
  <si>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</si>
  <si>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</si>
  <si>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</si>
  <si>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</si>
  <si>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</si>
  <si>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</si>
  <si>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</si>
  <si>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</si>
  <si>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</si>
  <si>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</si>
  <si>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</si>
  <si>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</si>
  <si>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</si>
  <si>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</si>
  <si>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</si>
  <si>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</si>
  <si>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</si>
  <si>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</si>
  <si>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</si>
  <si>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</si>
  <si>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</si>
  <si>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</si>
  <si>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</si>
  <si>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</si>
  <si>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</si>
  <si>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</si>
  <si>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</si>
  <si>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</si>
  <si>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</si>
  <si>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</si>
  <si>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</si>
  <si>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</si>
  <si>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</si>
  <si>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</si>
  <si>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</si>
  <si>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</si>
  <si>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</si>
  <si>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</si>
  <si>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</si>
  <si>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</si>
  <si>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</si>
  <si>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</si>
  <si>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</si>
  <si>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</si>
  <si>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</si>
  <si>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</si>
  <si>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</si>
  <si>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</si>
  <si>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</si>
  <si>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</si>
  <si>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</si>
  <si>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</si>
  <si>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</si>
  <si>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</si>
  <si>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</si>
  <si>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</si>
  <si>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</si>
  <si>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</si>
  <si>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</si>
  <si>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</si>
  <si>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</si>
  <si>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</si>
  <si>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</si>
  <si>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</si>
  <si>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</si>
  <si>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</si>
  <si>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</si>
  <si>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</si>
  <si>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</si>
  <si>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</si>
  <si>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</si>
  <si>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</si>
  <si>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</si>
  <si>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</si>
  <si>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</si>
  <si>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</si>
  <si>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</si>
  <si>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</si>
  <si>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</si>
  <si>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</si>
  <si>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</si>
  <si>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</si>
  <si>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</si>
  <si>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</si>
  <si>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</si>
  <si>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</si>
  <si>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</si>
  <si>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</si>
  <si>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</si>
  <si>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</si>
  <si>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</si>
  <si>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</si>
  <si>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</si>
  <si>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</si>
  <si>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</si>
  <si>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</si>
  <si>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</si>
  <si>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</si>
  <si>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</si>
  <si>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</si>
  <si>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</si>
  <si>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</si>
  <si>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</si>
  <si>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</si>
  <si>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</si>
  <si>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</si>
  <si>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</si>
  <si>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</si>
  <si>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</si>
  <si>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</si>
  <si>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</si>
  <si>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</si>
  <si>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</si>
  <si>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</si>
  <si>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</si>
  <si>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</si>
  <si>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</si>
  <si>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</si>
  <si>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</si>
  <si>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</si>
  <si>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</si>
  <si>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</si>
  <si>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</si>
  <si>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</si>
  <si>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</si>
  <si>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</si>
  <si>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</si>
  <si>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</si>
  <si>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</si>
  <si>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</si>
  <si>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</si>
  <si>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</si>
  <si>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</si>
  <si>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</si>
  <si>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</si>
  <si>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</si>
  <si>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</si>
  <si>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</si>
  <si>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</si>
  <si>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</si>
  <si>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</si>
  <si>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</si>
  <si>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</si>
  <si>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</si>
  <si>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</si>
  <si>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</si>
  <si>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</si>
  <si>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</si>
  <si>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</si>
  <si>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</si>
  <si>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</si>
  <si>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</si>
  <si>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</si>
  <si>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</si>
  <si>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</si>
  <si>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</si>
  <si>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</si>
  <si>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</si>
  <si>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</si>
  <si>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</si>
  <si>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</si>
  <si>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</si>
  <si>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</si>
  <si>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</si>
  <si>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</si>
  <si>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</si>
  <si>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</si>
  <si>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</si>
  <si>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</si>
  <si>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</si>
  <si>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</si>
  <si>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</si>
  <si>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</si>
  <si>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</si>
  <si>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</si>
  <si>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</si>
  <si>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</si>
  <si>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</si>
  <si>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</si>
  <si>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</si>
  <si>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</si>
  <si>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</si>
  <si>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</si>
  <si>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</si>
  <si>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</si>
  <si>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</si>
  <si>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</si>
  <si>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</si>
  <si>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</si>
  <si>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</si>
  <si>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</si>
  <si>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</si>
  <si>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</si>
  <si>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</si>
  <si>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</si>
  <si>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</si>
  <si>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</si>
  <si>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</si>
  <si>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</si>
  <si>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</si>
  <si>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</si>
  <si>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</si>
  <si>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</si>
  <si>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</si>
  <si>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</si>
  <si>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</si>
  <si>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</si>
  <si>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</si>
  <si>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</si>
  <si>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</si>
  <si>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</si>
  <si>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</si>
  <si>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</si>
  <si>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</si>
  <si>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</si>
  <si>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</si>
  <si>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</si>
  <si>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</si>
  <si>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</si>
  <si>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</si>
  <si>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</si>
  <si>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</si>
  <si>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</si>
  <si>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</si>
  <si>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</si>
  <si>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</si>
  <si>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</si>
  <si>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</si>
  <si>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</si>
  <si>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</si>
  <si>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</si>
  <si>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</si>
  <si>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</si>
  <si>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</si>
  <si>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</si>
  <si>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</si>
  <si>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</si>
  <si>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</si>
  <si>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</si>
  <si>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</si>
  <si>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</si>
  <si>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</si>
  <si>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</si>
  <si>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</si>
  <si>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</si>
  <si>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</si>
  <si>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</si>
  <si>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</si>
  <si>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</si>
  <si>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</si>
  <si>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</si>
  <si>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</si>
  <si>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</si>
  <si>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</si>
  <si>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</si>
  <si>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</si>
  <si>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</si>
  <si>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</si>
  <si>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</si>
  <si>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</si>
  <si>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</si>
  <si>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</si>
  <si>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</si>
  <si>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</si>
  <si>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</si>
  <si>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</si>
  <si>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</si>
  <si>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</si>
  <si>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</si>
  <si>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</si>
  <si>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</si>
  <si>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</si>
  <si>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</si>
  <si>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</si>
  <si>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</si>
  <si>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</si>
  <si>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</si>
  <si>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</si>
  <si>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</si>
  <si>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</si>
  <si>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</si>
  <si>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</si>
  <si>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</si>
  <si>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</si>
  <si>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</si>
  <si>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</si>
  <si>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</si>
  <si>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</si>
  <si>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</si>
  <si>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</si>
  <si>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</si>
  <si>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</si>
  <si>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</si>
  <si>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</si>
  <si>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</si>
  <si>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</si>
  <si>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</si>
  <si>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</si>
  <si>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</si>
  <si>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</si>
  <si>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</si>
  <si>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</si>
  <si>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</si>
  <si>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</si>
  <si>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</si>
  <si>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</si>
  <si>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</si>
  <si>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</si>
  <si>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</si>
  <si>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</si>
  <si>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</si>
  <si>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</si>
  <si>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</si>
  <si>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</si>
  <si>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</si>
  <si>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</si>
  <si>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</si>
  <si>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</si>
  <si>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</si>
  <si>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</si>
  <si>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</si>
  <si>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</si>
  <si>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</si>
  <si>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</si>
  <si>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</si>
  <si>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</si>
  <si>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</si>
  <si>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</si>
  <si>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</si>
  <si>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</si>
  <si>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</si>
  <si>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</si>
  <si>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</si>
  <si>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</si>
  <si>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</si>
  <si>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</si>
  <si>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</si>
  <si>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</si>
  <si>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</si>
  <si>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</si>
  <si>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</si>
  <si>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</si>
  <si>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</si>
  <si>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</si>
  <si>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</si>
  <si>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</si>
  <si>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</si>
  <si>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</si>
  <si>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</si>
  <si>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</si>
  <si>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</si>
  <si>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</si>
  <si>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</si>
  <si>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</si>
  <si>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</si>
  <si>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</si>
  <si>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</si>
  <si>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</si>
  <si>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</si>
  <si>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</si>
  <si>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</si>
  <si>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</si>
  <si>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</si>
  <si>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</si>
  <si>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</si>
  <si>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</si>
  <si>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</si>
  <si>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</si>
  <si>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</si>
  <si>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</si>
  <si>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</si>
  <si>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</si>
  <si>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</si>
  <si>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</si>
  <si>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</si>
  <si>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</si>
  <si>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</si>
  <si>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</si>
  <si>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</si>
  <si>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</si>
  <si>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</si>
  <si>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</si>
  <si>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</si>
  <si>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</si>
  <si>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</si>
  <si>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</si>
  <si>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</si>
  <si>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</si>
  <si>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</si>
  <si>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</si>
  <si>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</si>
  <si>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</si>
  <si>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</si>
  <si>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</si>
  <si>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</si>
  <si>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</si>
  <si>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</si>
  <si>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</si>
  <si>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</si>
  <si>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</si>
  <si>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</si>
  <si>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</si>
  <si>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</si>
  <si>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</si>
  <si>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</si>
  <si>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</si>
  <si>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</si>
  <si>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</si>
  <si>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</si>
  <si>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</si>
  <si>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</si>
  <si>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</si>
  <si>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</si>
  <si>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</si>
  <si>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</si>
  <si>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</si>
  <si>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</si>
  <si>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</si>
  <si>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</si>
  <si>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</si>
  <si>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</si>
  <si>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</si>
  <si>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</si>
  <si>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</si>
  <si>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</si>
  <si>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</si>
  <si>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</si>
  <si>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</si>
  <si>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</si>
  <si>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</si>
  <si>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</si>
  <si>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</si>
  <si>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</si>
  <si>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</si>
  <si>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</si>
  <si>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</si>
  <si>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</si>
  <si>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</si>
  <si>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</si>
  <si>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</si>
  <si>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</si>
  <si>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</si>
  <si>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</si>
  <si>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</si>
  <si>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</si>
  <si>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</si>
  <si>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</si>
  <si>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</si>
  <si>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</si>
  <si>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</si>
  <si>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</si>
  <si>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</si>
  <si>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</si>
  <si>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</si>
  <si>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</si>
  <si>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</si>
  <si>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</si>
  <si>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</si>
  <si>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</si>
  <si>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</si>
  <si>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</si>
  <si>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</si>
  <si>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</si>
  <si>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</si>
  <si>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</si>
  <si>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</si>
  <si>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</si>
  <si>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</si>
  <si>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</si>
  <si>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</si>
  <si>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</si>
  <si>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</si>
  <si>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</si>
  <si>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</si>
  <si>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</si>
  <si>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</si>
  <si>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</si>
  <si>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</si>
  <si>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</si>
  <si>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</si>
  <si>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</si>
  <si>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</si>
  <si>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</si>
  <si>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</si>
  <si>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</si>
  <si>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</si>
  <si>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</si>
  <si>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</si>
  <si>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</si>
  <si>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</si>
  <si>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</si>
  <si>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</si>
  <si>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</si>
  <si>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</si>
  <si>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</si>
  <si>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</si>
  <si>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</si>
  <si>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</si>
  <si>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</si>
  <si>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</si>
  <si>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</si>
  <si>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</si>
  <si>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</si>
  <si>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</si>
  <si>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</si>
  <si>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</si>
  <si>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</si>
  <si>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</si>
  <si>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</si>
  <si>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</si>
  <si>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</si>
  <si>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</si>
  <si>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</si>
  <si>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</si>
  <si>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</si>
  <si>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</si>
  <si>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</si>
  <si>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</si>
  <si>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</si>
  <si>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</si>
  <si>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</si>
  <si>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</si>
  <si>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</si>
  <si>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</si>
  <si>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</si>
  <si>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</si>
  <si>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</si>
  <si>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</si>
  <si>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</si>
  <si>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</si>
  <si>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</si>
  <si>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</si>
  <si>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</si>
  <si>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</si>
  <si>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</si>
  <si>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</si>
  <si>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</si>
  <si>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</si>
  <si>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</si>
  <si>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</si>
  <si>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</si>
  <si>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</si>
  <si>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</si>
  <si>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</si>
  <si>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</si>
  <si>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</si>
  <si>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</si>
  <si>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</si>
  <si>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</si>
  <si>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</si>
  <si>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</si>
  <si>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</si>
  <si>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</si>
  <si>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</si>
  <si>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</si>
  <si>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</si>
  <si>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</si>
  <si>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</si>
  <si>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</si>
  <si>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</si>
  <si>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</si>
  <si>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</si>
  <si>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</si>
  <si>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</si>
  <si>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</si>
  <si>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</si>
  <si>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</si>
  <si>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</si>
  <si>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</si>
  <si>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</si>
  <si>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</si>
  <si>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</si>
  <si>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</si>
  <si>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</si>
  <si>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</si>
  <si>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</si>
  <si>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</si>
  <si>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</si>
  <si>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</si>
  <si>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</si>
  <si>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</si>
  <si>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</si>
  <si>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</si>
  <si>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</si>
  <si>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</si>
  <si>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</si>
  <si>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</si>
  <si>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</si>
  <si>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</si>
  <si>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</si>
  <si>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</si>
  <si>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</si>
  <si>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</si>
  <si>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</si>
  <si>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</si>
  <si>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</si>
  <si>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</si>
  <si>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</si>
  <si>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</si>
  <si>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</si>
  <si>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</si>
  <si>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</si>
  <si>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</si>
  <si>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</si>
  <si>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</si>
  <si>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</si>
  <si>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</si>
  <si>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</si>
  <si>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</si>
  <si>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</si>
  <si>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</si>
  <si>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</si>
  <si>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</si>
  <si>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</si>
  <si>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</si>
  <si>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</si>
  <si>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</si>
  <si>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</si>
  <si>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</si>
  <si>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</si>
  <si>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</si>
  <si>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</si>
  <si>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</si>
  <si>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</si>
  <si>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</si>
  <si>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</si>
  <si>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</si>
  <si>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</si>
  <si>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</si>
  <si>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</si>
  <si>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</si>
  <si>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</si>
  <si>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</si>
  <si>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</si>
  <si>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</si>
  <si>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</si>
  <si>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</si>
  <si>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</si>
  <si>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</si>
  <si>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</si>
  <si>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</si>
  <si>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</si>
  <si>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</si>
  <si>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</si>
  <si>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</si>
  <si>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</si>
  <si>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</si>
  <si>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</si>
  <si>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</si>
  <si>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</si>
  <si>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</si>
  <si>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</si>
  <si>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</si>
  <si>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</si>
  <si>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</si>
  <si>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</si>
  <si>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</si>
  <si>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</si>
  <si>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</si>
  <si>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</si>
  <si>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</si>
  <si>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</si>
  <si>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</si>
  <si>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</si>
  <si>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</si>
  <si>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</si>
  <si>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</si>
  <si>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</si>
  <si>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</si>
  <si>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</si>
  <si>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</si>
  <si>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</si>
  <si>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</si>
  <si>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</si>
  <si>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</si>
  <si>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</si>
  <si>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</si>
  <si>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</si>
  <si>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</si>
  <si>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</si>
  <si>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</si>
  <si>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</si>
  <si>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</si>
  <si>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</si>
  <si>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</si>
  <si>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</si>
  <si>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</si>
  <si>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</si>
  <si>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</si>
  <si>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</si>
  <si>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</si>
  <si>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</si>
  <si>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</si>
  <si>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</si>
  <si>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</si>
  <si>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</si>
  <si>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</si>
  <si>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</si>
  <si>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</si>
  <si>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</si>
  <si>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</si>
  <si>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</si>
  <si>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</si>
  <si>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</si>
  <si>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</si>
  <si>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</si>
  <si>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</si>
  <si>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</si>
  <si>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</si>
  <si>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</si>
  <si>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</si>
  <si>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</si>
  <si>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</si>
  <si>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</si>
  <si>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</si>
  <si>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</si>
  <si>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</si>
  <si>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</si>
  <si>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</si>
  <si>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</si>
  <si>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</si>
  <si>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</si>
  <si>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</si>
  <si>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</si>
  <si>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</si>
  <si>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</si>
  <si>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</si>
  <si>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</si>
  <si>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</si>
  <si>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</si>
  <si>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</si>
  <si>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</si>
  <si>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</si>
  <si>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</si>
  <si>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</si>
  <si>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</si>
  <si>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</si>
  <si>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</si>
  <si>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</si>
  <si>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</si>
  <si>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</si>
  <si>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</si>
  <si>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</si>
  <si>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</si>
  <si>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</si>
  <si>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</si>
  <si>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</si>
  <si>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</si>
  <si>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</si>
  <si>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</si>
  <si>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</si>
  <si>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</si>
  <si>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</si>
  <si>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</si>
  <si>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</si>
  <si>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</si>
  <si>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</si>
  <si>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</si>
  <si>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</si>
  <si>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</si>
  <si>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</si>
  <si>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</si>
  <si>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</si>
  <si>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</si>
  <si>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</si>
  <si>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</si>
  <si>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</si>
  <si>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</si>
  <si>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</si>
  <si>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</si>
  <si>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</si>
  <si>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</si>
  <si>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</si>
  <si>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</si>
  <si>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</si>
  <si>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</si>
  <si>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</si>
  <si>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</si>
  <si>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</si>
  <si>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</si>
  <si>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</si>
  <si>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</si>
  <si>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</si>
  <si>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</si>
  <si>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</si>
  <si>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</si>
  <si>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</si>
  <si>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</si>
  <si>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</si>
  <si>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</si>
  <si>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</si>
  <si>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</si>
  <si>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</si>
  <si>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</si>
  <si>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</si>
  <si>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</si>
  <si>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</si>
  <si>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</si>
  <si>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</si>
  <si>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</si>
  <si>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</si>
  <si>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</si>
  <si>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</si>
  <si>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</si>
  <si>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</si>
  <si>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</si>
  <si>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</si>
  <si>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</si>
  <si>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</si>
  <si>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</si>
  <si>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</si>
  <si>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</si>
  <si>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</si>
  <si>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</si>
  <si>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</si>
  <si>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</si>
  <si>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</si>
  <si>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</si>
  <si>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</si>
  <si>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</si>
  <si>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</si>
  <si>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</si>
  <si>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</si>
  <si>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</si>
  <si>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</si>
  <si>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</si>
  <si>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</si>
  <si>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</si>
  <si>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</si>
  <si>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</si>
  <si>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</si>
  <si>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</si>
  <si>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</si>
  <si>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</si>
  <si>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</si>
  <si>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</si>
  <si>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</si>
  <si>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</si>
  <si>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</si>
  <si>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</si>
  <si>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</si>
  <si>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</si>
  <si>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</si>
  <si>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</si>
  <si>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</si>
  <si>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</si>
  <si>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</si>
  <si>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</si>
  <si>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</si>
  <si>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</si>
  <si>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</si>
  <si>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</si>
  <si>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</si>
  <si>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</si>
  <si>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</si>
  <si>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</si>
  <si>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</si>
  <si>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</si>
  <si>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</si>
  <si>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</si>
  <si>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</si>
  <si>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</si>
  <si>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</si>
  <si>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</si>
  <si>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</si>
  <si>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</si>
  <si>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</si>
  <si>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</si>
  <si>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</si>
  <si>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</si>
  <si>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</si>
  <si>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</si>
  <si>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</si>
  <si>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</si>
  <si>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</si>
  <si>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</si>
  <si>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</si>
  <si>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</si>
  <si>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</si>
  <si>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</si>
  <si>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</si>
  <si>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</si>
  <si>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</si>
  <si>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</si>
  <si>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</si>
  <si>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</si>
  <si>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</si>
  <si>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</si>
  <si>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</si>
  <si>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</si>
  <si>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</si>
  <si>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</si>
  <si>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</si>
  <si>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</si>
  <si>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</si>
  <si>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</si>
  <si>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</si>
  <si>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</si>
  <si>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</si>
  <si>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</si>
  <si>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</si>
  <si>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</si>
  <si>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</si>
  <si>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</si>
  <si>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</si>
  <si>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</si>
  <si>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</si>
  <si>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</si>
  <si>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</si>
  <si>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</si>
  <si>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</si>
  <si>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</si>
  <si>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</si>
  <si>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</si>
  <si>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</si>
  <si>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</si>
  <si>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</si>
  <si>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</si>
  <si>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</si>
  <si>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</si>
  <si>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</si>
  <si>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</si>
  <si>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</si>
  <si>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</si>
  <si>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</si>
  <si>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</si>
  <si>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</si>
  <si>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</si>
  <si>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</si>
  <si>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</si>
  <si>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</si>
  <si>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</si>
  <si>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</si>
  <si>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</si>
  <si>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</si>
  <si>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</si>
  <si>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</si>
  <si>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</si>
  <si>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</si>
  <si>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</si>
  <si>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</si>
  <si>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</si>
  <si>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</si>
  <si>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</si>
  <si>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</si>
  <si>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</si>
  <si>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</si>
  <si>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</si>
  <si>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</si>
  <si>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</si>
  <si>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</si>
  <si>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</si>
  <si>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</si>
  <si>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</si>
  <si>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</si>
  <si>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</si>
  <si>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</si>
  <si>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</si>
  <si>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</si>
  <si>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</si>
  <si>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</si>
  <si>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</si>
  <si>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</si>
  <si>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</si>
  <si>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</si>
  <si>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</si>
  <si>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</si>
  <si>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</si>
  <si>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</si>
  <si>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</si>
  <si>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</si>
  <si>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</si>
  <si>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</si>
  <si>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</si>
  <si>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</si>
  <si>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</si>
  <si>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</si>
  <si>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</si>
  <si>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</si>
  <si>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</si>
  <si>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</si>
  <si>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</si>
  <si>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</si>
  <si>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</si>
  <si>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</si>
  <si>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</si>
  <si>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</si>
  <si>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</si>
  <si>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</si>
  <si>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</si>
  <si>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</si>
  <si>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</si>
  <si>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</si>
  <si>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</si>
  <si>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</si>
  <si>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</si>
  <si>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</si>
  <si>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</si>
  <si>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</si>
  <si>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</si>
  <si>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</si>
  <si>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</si>
  <si>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</si>
  <si>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</si>
  <si>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</si>
  <si>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</si>
  <si>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</si>
  <si>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</si>
  <si>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</si>
  <si>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</si>
  <si>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</si>
  <si>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</si>
  <si>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</si>
  <si>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</si>
  <si>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</si>
  <si>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</si>
  <si>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</si>
  <si>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</si>
  <si>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</si>
  <si>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</si>
  <si>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</si>
  <si>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</si>
  <si>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</si>
  <si>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</si>
  <si>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</si>
  <si>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</si>
  <si>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</si>
  <si>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</si>
  <si>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</si>
  <si>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</si>
  <si>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</si>
  <si>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</si>
  <si>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</si>
  <si>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</si>
  <si>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</si>
  <si>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</si>
  <si>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</si>
  <si>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</si>
  <si>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</si>
  <si>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</si>
  <si>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</si>
  <si>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</si>
  <si>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</si>
  <si>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</si>
  <si>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</si>
  <si>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</si>
  <si>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</si>
  <si>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</si>
  <si>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</si>
  <si>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</si>
  <si>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</si>
  <si>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</si>
  <si>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</si>
  <si>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</si>
  <si>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</si>
  <si>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</si>
  <si>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</si>
  <si>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</si>
  <si>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</si>
  <si>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</si>
  <si>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</si>
  <si>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</si>
  <si>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</si>
  <si>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</si>
  <si>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</si>
  <si>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</si>
  <si>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</si>
  <si>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</si>
  <si>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</si>
  <si>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</si>
  <si>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</si>
  <si>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</si>
  <si>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</si>
  <si>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</si>
  <si>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</si>
  <si>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</si>
  <si>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</si>
  <si>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</si>
  <si>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</si>
  <si>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</si>
  <si>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</si>
  <si>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</si>
  <si>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</si>
  <si>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</si>
  <si>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</si>
  <si>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</si>
  <si>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</si>
  <si>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</si>
  <si>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</si>
  <si>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</si>
  <si>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</si>
  <si>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</si>
  <si>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</si>
  <si>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</si>
  <si>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</si>
  <si>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</si>
  <si>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</si>
  <si>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</si>
  <si>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</si>
  <si>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</si>
  <si>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</si>
  <si>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</si>
  <si>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</si>
  <si>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</si>
  <si>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</si>
  <si>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</si>
  <si>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</si>
  <si>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</si>
  <si>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</si>
  <si>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</si>
  <si>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</si>
  <si>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</si>
  <si>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</si>
  <si>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</si>
  <si>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</si>
  <si>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</si>
  <si>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</si>
  <si>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</si>
  <si>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</si>
  <si>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</si>
  <si>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</si>
  <si>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</si>
  <si>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</si>
  <si>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</si>
  <si>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</si>
  <si>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</si>
  <si>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</si>
  <si>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</si>
  <si>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</si>
  <si>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</si>
  <si>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</si>
  <si>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</si>
  <si>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</si>
  <si>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</si>
  <si>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</si>
  <si>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</si>
  <si>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</si>
  <si>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</si>
  <si>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</si>
  <si>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</si>
  <si>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</si>
  <si>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</si>
  <si>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</si>
  <si>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</si>
  <si>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</si>
  <si>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</si>
  <si>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</si>
  <si>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</si>
  <si>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</si>
  <si>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</si>
  <si>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</si>
  <si>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</si>
  <si>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</si>
  <si>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</si>
  <si>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</si>
  <si>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</si>
  <si>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</si>
  <si>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</si>
  <si>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</si>
  <si>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</si>
  <si>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</si>
  <si>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</si>
  <si>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</si>
  <si>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</si>
  <si>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</si>
  <si>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</si>
  <si>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</si>
  <si>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</si>
  <si>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</si>
  <si>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</si>
  <si>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</si>
  <si>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</si>
  <si>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</si>
  <si>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</si>
  <si>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</si>
  <si>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</si>
  <si>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</si>
  <si>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</si>
  <si>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</si>
  <si>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</si>
  <si>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</si>
  <si>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</si>
  <si>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</si>
  <si>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</si>
  <si>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</si>
  <si>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</si>
  <si>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</si>
  <si>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</si>
  <si>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</si>
  <si>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</si>
  <si>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</si>
  <si>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</si>
  <si>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</si>
  <si>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</si>
  <si>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</si>
  <si>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</si>
  <si>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</si>
  <si>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</si>
  <si>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</si>
  <si>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</si>
  <si>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</si>
  <si>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</si>
  <si>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</si>
  <si>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</si>
  <si>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</si>
  <si>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</si>
  <si>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</si>
  <si>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</si>
  <si>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</si>
  <si>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</si>
  <si>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</si>
  <si>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</si>
  <si>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</si>
  <si>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</si>
  <si>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</si>
  <si>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</si>
  <si>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</si>
  <si>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</si>
  <si>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</si>
  <si>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</si>
  <si>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</si>
  <si>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</si>
  <si>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</si>
  <si>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</si>
  <si>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</si>
  <si>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</si>
  <si>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</si>
  <si>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</si>
  <si>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</si>
  <si>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</si>
  <si>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</si>
  <si>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</si>
  <si>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</si>
  <si>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</si>
  <si>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</si>
  <si>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</si>
  <si>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</si>
  <si>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</si>
  <si>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</si>
  <si>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</si>
  <si>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</si>
  <si>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</si>
  <si>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</si>
  <si>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</si>
  <si>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</si>
  <si>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</si>
  <si>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</si>
  <si>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</si>
  <si>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</si>
  <si>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</si>
  <si>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</si>
  <si>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</si>
  <si>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</si>
  <si>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</si>
  <si>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</si>
  <si>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</si>
  <si>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</si>
  <si>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</si>
  <si>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</si>
  <si>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</si>
  <si>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</si>
  <si>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</si>
  <si>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</si>
  <si>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</si>
  <si>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</si>
  <si>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</si>
  <si>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</si>
  <si>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</si>
  <si>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</si>
  <si>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</si>
  <si>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</si>
  <si>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</si>
  <si>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</si>
  <si>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</si>
  <si>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</si>
  <si>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</si>
  <si>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</si>
  <si>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</si>
  <si>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</si>
  <si>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</si>
  <si>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</si>
  <si>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</si>
  <si>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</si>
  <si>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</si>
  <si>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</si>
  <si>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</si>
  <si>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</si>
  <si>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</si>
  <si>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</si>
  <si>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</si>
  <si>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</si>
  <si>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</si>
  <si>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</si>
  <si>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</si>
  <si>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</si>
  <si>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</si>
  <si>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</si>
  <si>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</si>
  <si>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</si>
  <si>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</si>
  <si>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</si>
  <si>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</si>
  <si>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</si>
  <si>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</si>
  <si>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</si>
  <si>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</si>
  <si>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</si>
  <si>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</si>
  <si>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</si>
  <si>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</si>
  <si>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</si>
  <si>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</si>
  <si>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</si>
  <si>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</si>
  <si>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</si>
  <si>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</si>
  <si>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</si>
  <si>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</si>
  <si>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</si>
  <si>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</si>
  <si>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</si>
  <si>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</si>
  <si>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</si>
  <si>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</si>
  <si>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</si>
  <si>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</si>
  <si>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</si>
  <si>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</si>
  <si>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</si>
  <si>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</si>
  <si>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</si>
  <si>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</si>
  <si>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</si>
  <si>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</si>
  <si>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</si>
  <si>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</si>
  <si>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</si>
  <si>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</si>
  <si>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</si>
  <si>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</si>
  <si>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</si>
  <si>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</si>
  <si>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</si>
  <si>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</si>
  <si>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</si>
  <si>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</si>
  <si>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</si>
  <si>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</si>
  <si>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</si>
  <si>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</si>
  <si>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</si>
  <si>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</si>
  <si>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</si>
  <si>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</si>
  <si>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</si>
  <si>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</si>
  <si>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</si>
  <si>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</si>
  <si>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</si>
  <si>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</si>
  <si>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</si>
  <si>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</si>
  <si>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</si>
  <si>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</si>
  <si>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</si>
  <si>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</si>
  <si>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</si>
  <si>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</si>
  <si>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</si>
  <si>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</si>
  <si>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</si>
  <si>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</si>
  <si>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</si>
  <si>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</si>
  <si>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</si>
  <si>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</si>
  <si>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</si>
  <si>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</si>
  <si>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</si>
  <si>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</si>
  <si>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</si>
  <si>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</si>
  <si>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</si>
  <si>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</si>
  <si>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</si>
  <si>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</si>
  <si>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</si>
  <si>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</si>
  <si>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</si>
  <si>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</si>
  <si>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</si>
  <si>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</si>
  <si>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</si>
  <si>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</si>
  <si>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</si>
  <si>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</si>
  <si>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</si>
  <si>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</si>
  <si>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</si>
  <si>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</si>
  <si>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</si>
  <si>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</si>
  <si>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</si>
  <si>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</si>
  <si>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</si>
  <si>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</si>
  <si>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</si>
  <si>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</si>
  <si>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</si>
  <si>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</si>
  <si>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</si>
  <si>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</si>
  <si>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</si>
  <si>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</si>
  <si>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</si>
  <si>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</si>
  <si>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</si>
  <si>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</si>
  <si>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</si>
  <si>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</si>
  <si>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</si>
  <si>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</si>
  <si>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</si>
  <si>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</si>
  <si>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</si>
  <si>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</si>
  <si>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</si>
  <si>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</si>
  <si>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</si>
  <si>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</si>
  <si>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</si>
  <si>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</si>
  <si>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</si>
  <si>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</si>
  <si>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</si>
  <si>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</si>
  <si>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</si>
  <si>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</si>
  <si>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</si>
  <si>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</si>
  <si>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</si>
  <si>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</si>
  <si>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</si>
  <si>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</si>
  <si>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</si>
  <si>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</si>
  <si>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</si>
  <si>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</si>
  <si>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</si>
  <si>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</si>
  <si>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</si>
  <si>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</si>
  <si>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</si>
  <si>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</si>
  <si>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</si>
  <si>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</si>
  <si>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</si>
  <si>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</si>
  <si>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</si>
  <si>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</si>
  <si>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</si>
  <si>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</si>
  <si>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</si>
  <si>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</si>
  <si>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</si>
  <si>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</si>
  <si>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</si>
  <si>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</si>
  <si>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</si>
  <si>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</si>
  <si>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</si>
  <si>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</si>
  <si>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</si>
  <si>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</si>
  <si>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</si>
  <si>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</si>
  <si>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</si>
  <si>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</si>
  <si>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</si>
  <si>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</si>
  <si>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</si>
  <si>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</si>
  <si>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</si>
  <si>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</si>
  <si>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</si>
  <si>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</si>
  <si>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</si>
  <si>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</si>
  <si>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</si>
  <si>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</si>
  <si>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</si>
  <si>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</si>
  <si>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</si>
  <si>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</si>
  <si>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</si>
  <si>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</si>
  <si>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</si>
  <si>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</si>
  <si>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</si>
  <si>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</si>
  <si>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</si>
  <si>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</si>
  <si>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</si>
  <si>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</si>
  <si>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</si>
  <si>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</si>
  <si>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</si>
  <si>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</si>
  <si>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</si>
  <si>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</si>
  <si>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</si>
  <si>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</si>
  <si>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</si>
  <si>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</si>
  <si>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</si>
  <si>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</si>
  <si>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</si>
  <si>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</si>
  <si>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</si>
  <si>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</si>
  <si>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</si>
  <si>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</si>
  <si>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</si>
  <si>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</si>
  <si>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</si>
  <si>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</si>
  <si>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</si>
  <si>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</si>
  <si>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</si>
  <si>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</si>
  <si>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</si>
  <si>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</si>
  <si>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</si>
  <si>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</si>
  <si>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</si>
  <si>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</si>
  <si>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</si>
  <si>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</si>
  <si>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</si>
  <si>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</si>
  <si>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</si>
  <si>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</si>
  <si>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</si>
  <si>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</si>
  <si>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</si>
  <si>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</si>
  <si>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</si>
  <si>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</si>
  <si>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</si>
  <si>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</si>
  <si>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</si>
  <si>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</si>
  <si>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</si>
  <si>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</si>
  <si>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</si>
  <si>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</si>
  <si>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</si>
  <si>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</si>
  <si>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</si>
  <si>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</si>
  <si>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</si>
  <si>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</si>
  <si>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</si>
  <si>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</si>
  <si>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</si>
  <si>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</si>
  <si>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</si>
  <si>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</si>
  <si>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</si>
  <si>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</si>
  <si>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</si>
  <si>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</si>
  <si>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</si>
  <si>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</si>
  <si>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</si>
  <si>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</si>
  <si>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</si>
  <si>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</si>
  <si>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</si>
  <si>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</si>
  <si>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</si>
  <si>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</si>
  <si>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</si>
  <si>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</si>
  <si>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</si>
  <si>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</si>
  <si>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</si>
  <si>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</si>
  <si>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</si>
  <si>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</si>
  <si>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</si>
  <si>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</si>
  <si>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</si>
  <si>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</si>
  <si>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</si>
  <si>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</si>
  <si>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</si>
  <si>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</si>
  <si>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</si>
  <si>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</si>
  <si>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</si>
  <si>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</si>
  <si>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</si>
  <si>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</si>
  <si>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</si>
  <si>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</si>
  <si>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</si>
  <si>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</si>
  <si>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</si>
  <si>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</si>
  <si>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</si>
  <si>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</si>
  <si>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</si>
  <si>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</si>
  <si>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</si>
  <si>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</si>
  <si>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</si>
  <si>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</si>
  <si>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</si>
  <si>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</si>
  <si>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</si>
  <si>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</si>
  <si>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</si>
  <si>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</si>
  <si>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</si>
  <si>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</si>
  <si>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</si>
  <si>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</si>
  <si>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</si>
  <si>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</si>
  <si>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</si>
  <si>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</si>
  <si>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</si>
  <si>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</si>
  <si>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</si>
  <si>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</si>
  <si>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</si>
  <si>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</si>
  <si>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</si>
  <si>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</si>
  <si>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</si>
  <si>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</si>
  <si>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</si>
  <si>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</si>
  <si>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</si>
  <si>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</si>
  <si>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</si>
  <si>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</si>
  <si>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</si>
  <si>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</si>
  <si>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</si>
  <si>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</si>
  <si>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</si>
  <si>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</si>
  <si>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</si>
  <si>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</si>
  <si>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</si>
  <si>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</si>
  <si>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</si>
  <si>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</si>
  <si>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</si>
  <si>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</si>
  <si>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</si>
  <si>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</si>
  <si>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</si>
  <si>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</si>
  <si>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</si>
  <si>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</si>
  <si>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</si>
  <si>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</si>
  <si>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</si>
  <si>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</si>
  <si>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</si>
  <si>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</si>
  <si>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</si>
  <si>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</si>
  <si>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</si>
  <si>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</si>
  <si>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</si>
  <si>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</si>
  <si>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</si>
  <si>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</si>
  <si>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</si>
  <si>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</si>
  <si>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</si>
  <si>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</si>
  <si>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</si>
  <si>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</si>
  <si>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</si>
  <si>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</si>
  <si>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</si>
  <si>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</si>
  <si>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</si>
  <si>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</si>
  <si>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</si>
  <si>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</si>
  <si>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</si>
  <si>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</si>
  <si>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</si>
  <si>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</si>
  <si>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</si>
  <si>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</si>
  <si>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</si>
  <si>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</si>
  <si>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</si>
  <si>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</si>
  <si>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</si>
  <si>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</si>
  <si>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</si>
  <si>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</si>
  <si>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</si>
  <si>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</si>
  <si>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</si>
  <si>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</si>
  <si>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</si>
  <si>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</si>
  <si>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</si>
  <si>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</si>
  <si>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</si>
  <si>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</si>
  <si>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</si>
  <si>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</si>
  <si>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</si>
  <si>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</si>
  <si>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</si>
  <si>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</si>
  <si>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</si>
  <si>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</si>
  <si>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</si>
  <si>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</si>
  <si>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</si>
  <si>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</si>
  <si>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</si>
  <si>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</si>
  <si>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</si>
  <si>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</si>
  <si>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</si>
  <si>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</si>
  <si>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</si>
  <si>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</si>
  <si>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</si>
  <si>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</si>
  <si>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</si>
  <si>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</si>
  <si>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</si>
  <si>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</si>
  <si>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</si>
  <si>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</si>
  <si>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</si>
  <si>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</si>
  <si>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</si>
  <si>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</si>
  <si>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</si>
  <si>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</si>
  <si>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</si>
  <si>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</si>
  <si>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</si>
  <si>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</si>
  <si>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</si>
  <si>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</si>
  <si>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</si>
  <si>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</si>
  <si>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</si>
  <si>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</si>
  <si>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</si>
  <si>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</si>
  <si>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</si>
  <si>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</si>
  <si>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</si>
  <si>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</si>
  <si>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</si>
  <si>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</si>
  <si>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</si>
  <si>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</si>
  <si>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</si>
  <si>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</si>
  <si>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</si>
  <si>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</si>
  <si>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</si>
  <si>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</si>
  <si>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</si>
  <si>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</si>
  <si>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</si>
  <si>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</si>
  <si>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</si>
  <si>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</si>
  <si>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</si>
  <si>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</si>
  <si>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</si>
  <si>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</si>
  <si>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</si>
  <si>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</si>
  <si>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</si>
  <si>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</si>
  <si>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</si>
  <si>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</si>
  <si>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</si>
  <si>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</si>
  <si>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</si>
  <si>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</si>
  <si>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</si>
  <si>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</si>
  <si>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</si>
  <si>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</si>
  <si>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</si>
  <si>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</si>
  <si>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</si>
  <si>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</si>
  <si>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</si>
  <si>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</si>
  <si>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</si>
  <si>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</si>
  <si>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</si>
  <si>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</si>
  <si>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</si>
  <si>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</si>
  <si>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</si>
  <si>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</si>
  <si>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</si>
  <si>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</si>
  <si>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</si>
  <si>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</si>
  <si>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</si>
  <si>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</si>
  <si>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</si>
  <si>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</si>
  <si>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</si>
  <si>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</si>
  <si>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</si>
  <si>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</si>
  <si>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</si>
  <si>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</si>
  <si>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</si>
  <si>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</si>
  <si>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</si>
  <si>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</si>
  <si>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</si>
  <si>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</si>
  <si>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</si>
  <si>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</si>
  <si>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</si>
  <si>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</si>
  <si>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</si>
  <si>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</si>
  <si>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</si>
  <si>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</si>
  <si>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</si>
  <si>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</si>
  <si>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</si>
  <si>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</si>
  <si>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</si>
  <si>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</si>
  <si>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</si>
  <si>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</si>
  <si>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</si>
  <si>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</si>
  <si>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</si>
  <si>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</si>
  <si>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</si>
  <si>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</si>
  <si>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</si>
  <si>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</si>
  <si>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</si>
  <si>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</si>
  <si>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</si>
  <si>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</si>
  <si>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</si>
  <si>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</si>
  <si>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</si>
  <si>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</si>
  <si>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</si>
  <si>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</si>
  <si>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</si>
  <si>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</si>
  <si>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</si>
  <si>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</si>
  <si>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</si>
  <si>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</si>
  <si>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</si>
  <si>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</si>
  <si>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</si>
  <si>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</si>
  <si>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</si>
  <si>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</si>
  <si>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</si>
  <si>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</si>
  <si>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</si>
  <si>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</si>
  <si>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</si>
  <si>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</si>
  <si>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</si>
  <si>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</si>
  <si>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</si>
  <si>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</si>
  <si>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</si>
  <si>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</si>
  <si>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</si>
  <si>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</si>
  <si>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</si>
  <si>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</si>
  <si>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</si>
  <si>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</si>
  <si>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</si>
  <si>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</si>
  <si>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</si>
  <si>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</si>
  <si>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</si>
  <si>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</si>
  <si>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</si>
  <si>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</si>
  <si>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</si>
  <si>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</si>
  <si>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</si>
  <si>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</si>
  <si>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</si>
  <si>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</si>
  <si>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</si>
  <si>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</si>
  <si>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</si>
  <si>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</si>
  <si>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</si>
  <si>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</si>
  <si>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</si>
  <si>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</si>
  <si>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</si>
  <si>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</si>
  <si>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</si>
  <si>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</si>
  <si>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</si>
  <si>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</si>
  <si>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</si>
  <si>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</si>
  <si>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</si>
  <si>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</si>
  <si>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</si>
  <si>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</si>
  <si>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</si>
  <si>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</si>
  <si>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</si>
  <si>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</si>
  <si>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</si>
  <si>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</si>
  <si>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</si>
  <si>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</si>
  <si>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</si>
  <si>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</si>
  <si>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</si>
  <si>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</si>
  <si>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</si>
  <si>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</si>
  <si>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</si>
  <si>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</si>
  <si>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</si>
  <si>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</si>
  <si>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</si>
  <si>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</si>
  <si>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</si>
  <si>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</si>
  <si>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</si>
  <si>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</si>
  <si>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</si>
  <si>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</si>
  <si>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</si>
  <si>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</si>
  <si>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</si>
  <si>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</si>
  <si>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</si>
  <si>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</si>
  <si>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</si>
  <si>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</si>
  <si>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</si>
  <si>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</si>
  <si>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</si>
  <si>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</si>
  <si>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</si>
  <si>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</si>
  <si>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</si>
  <si>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</si>
  <si>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</si>
  <si>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</si>
  <si>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</si>
  <si>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</si>
  <si>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</si>
  <si>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</si>
  <si>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</si>
  <si>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</si>
  <si>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</si>
  <si>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</si>
  <si>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</si>
  <si>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</si>
  <si>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</si>
  <si>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</si>
  <si>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</si>
  <si>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</si>
  <si>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</si>
  <si>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</si>
  <si>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</si>
  <si>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</si>
  <si>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</si>
  <si>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</si>
  <si>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</si>
  <si>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</si>
  <si>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</si>
  <si>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</si>
  <si>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</si>
  <si>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</si>
  <si>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</si>
  <si>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</si>
  <si>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</si>
  <si>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</si>
  <si>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</si>
  <si>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</si>
  <si>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</si>
  <si>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</si>
  <si>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</si>
  <si>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</si>
  <si>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</si>
  <si>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</si>
  <si>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</si>
  <si>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</si>
  <si>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</si>
  <si>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</si>
  <si>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</si>
  <si>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</si>
  <si>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</si>
  <si>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</si>
  <si>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</si>
  <si>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</si>
  <si>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</si>
  <si>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</si>
  <si>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</si>
  <si>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</si>
  <si>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</si>
  <si>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</si>
  <si>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</si>
  <si>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</si>
  <si>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</si>
  <si>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</si>
  <si>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</si>
  <si>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</si>
  <si>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</si>
  <si>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</si>
  <si>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</si>
  <si>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</si>
  <si>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</si>
  <si>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</si>
  <si>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</si>
  <si>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</si>
  <si>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</si>
  <si>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</si>
  <si>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</si>
  <si>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</si>
  <si>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</si>
  <si>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</si>
  <si>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</si>
  <si>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</si>
  <si>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</si>
  <si>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</si>
  <si>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</si>
  <si>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</si>
  <si>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</si>
  <si>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</si>
  <si>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</si>
  <si>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</si>
  <si>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</si>
  <si>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</si>
  <si>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</si>
  <si>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</si>
  <si>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</si>
  <si>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</si>
  <si>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</si>
  <si>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</si>
  <si>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</si>
  <si>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</si>
  <si>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</si>
  <si>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</si>
  <si>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</si>
  <si>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</si>
  <si>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</si>
  <si>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</si>
  <si>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</si>
  <si>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</si>
  <si>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</si>
  <si>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</si>
  <si>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</si>
  <si>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</si>
  <si>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</si>
  <si>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</si>
  <si>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</si>
  <si>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</si>
  <si>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</si>
  <si>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</si>
  <si>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</si>
  <si>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</si>
  <si>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</si>
  <si>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</si>
  <si>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</si>
  <si>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</si>
  <si>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</si>
  <si>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</si>
  <si>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</si>
  <si>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</si>
  <si>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</si>
  <si>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</si>
  <si>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</si>
  <si>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</si>
  <si>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</si>
  <si>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</si>
  <si>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</si>
  <si>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</si>
  <si>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</si>
  <si>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</si>
  <si>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</si>
  <si>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</si>
  <si>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</si>
  <si>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</si>
  <si>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</si>
  <si>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</si>
  <si>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</si>
  <si>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</si>
  <si>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</si>
  <si>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</si>
  <si>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</si>
  <si>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</si>
  <si>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</si>
  <si>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</si>
  <si>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</si>
  <si>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</si>
  <si>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</si>
  <si>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</si>
  <si>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</si>
  <si>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</si>
  <si>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</si>
  <si>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</si>
  <si>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</si>
  <si>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</si>
  <si>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</si>
  <si>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</si>
  <si>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</si>
  <si>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</si>
  <si>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</si>
  <si>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</si>
  <si>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</si>
  <si>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</si>
  <si>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</si>
  <si>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</si>
  <si>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</si>
  <si>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</si>
  <si>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</si>
  <si>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</si>
  <si>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</si>
  <si>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</si>
  <si>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</si>
  <si>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</si>
  <si>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</si>
  <si>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</si>
  <si>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</si>
  <si>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</si>
  <si>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</si>
  <si>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</si>
  <si>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</si>
  <si>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</si>
  <si>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</si>
  <si>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</si>
  <si>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</si>
  <si>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</si>
  <si>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</si>
  <si>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</si>
  <si>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</si>
  <si>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</si>
  <si>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</si>
  <si>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</si>
  <si>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</si>
  <si>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</si>
  <si>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</si>
  <si>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</si>
  <si>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</si>
  <si>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</si>
  <si>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</si>
  <si>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</si>
  <si>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</si>
  <si>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</si>
  <si>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</si>
  <si>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</si>
  <si>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</si>
  <si>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</si>
  <si>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</si>
  <si>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</si>
  <si>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</si>
  <si>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</si>
  <si>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</si>
  <si>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</si>
  <si>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</si>
  <si>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</si>
  <si>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</si>
  <si>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</si>
  <si>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</si>
  <si>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</si>
  <si>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</si>
  <si>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</si>
  <si>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</si>
  <si>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</si>
  <si>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</si>
  <si>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</si>
  <si>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</si>
  <si>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</si>
  <si>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</si>
  <si>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</si>
  <si>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</si>
  <si>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</si>
  <si>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</si>
  <si>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</si>
  <si>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</si>
  <si>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</si>
  <si>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</si>
  <si>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</si>
  <si>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</si>
  <si>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</si>
  <si>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</si>
  <si>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</si>
  <si>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</si>
  <si>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</si>
  <si>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</si>
  <si>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</si>
  <si>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</si>
  <si>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</si>
  <si>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</si>
  <si>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</si>
  <si>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</si>
  <si>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</si>
  <si>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</si>
  <si>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</si>
  <si>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</si>
  <si>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</si>
  <si>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</si>
  <si>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</si>
  <si>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</si>
  <si>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</si>
  <si>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</si>
  <si>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</si>
  <si>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</si>
  <si>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</si>
  <si>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</si>
  <si>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</si>
  <si>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</si>
  <si>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</si>
  <si>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</si>
  <si>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</si>
  <si>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</si>
  <si>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</si>
  <si>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</si>
  <si>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</si>
  <si>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</si>
  <si>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</si>
  <si>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</si>
  <si>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</si>
  <si>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</si>
  <si>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</si>
  <si>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</si>
  <si>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</si>
  <si>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</si>
  <si>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</si>
  <si>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</si>
  <si>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</si>
  <si>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</si>
  <si>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</si>
  <si>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</si>
  <si>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</si>
  <si>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</si>
  <si>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</si>
  <si>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</si>
  <si>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</si>
  <si>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</si>
  <si>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</si>
  <si>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</si>
  <si>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</si>
  <si>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</si>
  <si>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</si>
  <si>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</si>
  <si>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</si>
  <si>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</si>
  <si>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</si>
  <si>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</si>
  <si>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</si>
  <si>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</si>
  <si>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</si>
  <si>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</si>
  <si>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</si>
  <si>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</si>
  <si>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</si>
  <si>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</si>
  <si>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</si>
  <si>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</si>
  <si>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</si>
  <si>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</si>
  <si>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</si>
  <si>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</si>
  <si>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</si>
  <si>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</si>
  <si>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</si>
  <si>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</si>
  <si>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</si>
  <si>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</si>
  <si>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</si>
  <si>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</si>
  <si>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</si>
  <si>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</si>
  <si>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</si>
  <si>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</si>
  <si>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</si>
  <si>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</si>
  <si>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</si>
  <si>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</si>
  <si>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</si>
  <si>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</si>
  <si>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</si>
  <si>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</si>
  <si>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</si>
  <si>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</si>
  <si>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</si>
  <si>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</si>
  <si>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</si>
  <si>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</si>
  <si>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</si>
  <si>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</si>
  <si>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</si>
  <si>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</si>
  <si>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</si>
  <si>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</si>
  <si>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</si>
  <si>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</si>
  <si>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</si>
  <si>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</si>
  <si>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</si>
  <si>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</si>
  <si>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</si>
  <si>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</si>
  <si>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</si>
  <si>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</si>
  <si>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</si>
  <si>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</si>
  <si>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</si>
  <si>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</si>
  <si>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</si>
  <si>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</si>
  <si>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</si>
  <si>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</si>
  <si>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</si>
  <si>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</si>
  <si>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</si>
  <si>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</si>
  <si>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</si>
  <si>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</si>
  <si>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</si>
  <si>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</si>
  <si>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</si>
  <si>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</si>
  <si>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</si>
  <si>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</si>
  <si>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</si>
  <si>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</si>
  <si>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</si>
  <si>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</si>
  <si>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</si>
  <si>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</si>
  <si>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</si>
  <si>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</si>
  <si>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</si>
  <si>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</si>
  <si>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</si>
  <si>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</si>
  <si>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</si>
  <si>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</si>
  <si>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</si>
  <si>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</si>
  <si>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</si>
  <si>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</si>
  <si>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</si>
  <si>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</si>
  <si>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</si>
  <si>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</si>
  <si>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</si>
  <si>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</si>
  <si>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</si>
  <si>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</si>
  <si>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</si>
  <si>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</si>
  <si>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</si>
  <si>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</si>
  <si>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</si>
  <si>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</si>
  <si>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</si>
  <si>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</si>
  <si>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</si>
  <si>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</si>
  <si>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</si>
  <si>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</si>
  <si>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</si>
  <si>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</si>
  <si>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</si>
  <si>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</si>
  <si>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</si>
  <si>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</si>
  <si>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</si>
  <si>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</si>
  <si>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</si>
  <si>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</si>
  <si>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</si>
  <si>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</si>
  <si>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</si>
  <si>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</si>
  <si>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</si>
  <si>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</si>
  <si>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</si>
  <si>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</si>
  <si>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</si>
  <si>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</si>
  <si>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</si>
  <si>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</si>
  <si>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</si>
  <si>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</si>
  <si>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</si>
  <si>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</si>
  <si>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</si>
  <si>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</si>
  <si>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</si>
  <si>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</si>
  <si>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</si>
  <si>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</si>
  <si>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</si>
  <si>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</si>
  <si>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</si>
  <si>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</si>
  <si>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</si>
  <si>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</si>
  <si>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</si>
  <si>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</si>
  <si>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</si>
  <si>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</si>
  <si>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</si>
  <si>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</si>
  <si>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</si>
  <si>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</si>
  <si>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</si>
  <si>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</si>
  <si>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</si>
  <si>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</si>
  <si>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</si>
  <si>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</si>
  <si>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</si>
  <si>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</si>
  <si>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</si>
  <si>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</si>
  <si>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</si>
  <si>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</si>
  <si>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</si>
  <si>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</si>
  <si>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</si>
  <si>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</si>
  <si>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</si>
  <si>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</si>
  <si>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</si>
  <si>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</si>
  <si>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</si>
  <si>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</si>
  <si>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</si>
  <si>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</si>
  <si>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</si>
  <si>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</si>
  <si>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</si>
  <si>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</si>
  <si>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</si>
  <si>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</si>
  <si>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</si>
  <si>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</si>
  <si>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</si>
  <si>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</si>
  <si>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</si>
  <si>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</si>
  <si>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</si>
  <si>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</si>
  <si>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</si>
  <si>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</si>
  <si>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</si>
  <si>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</si>
  <si>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</si>
  <si>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</si>
  <si>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</si>
  <si>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</si>
  <si>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</si>
  <si>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</si>
  <si>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</si>
  <si>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</si>
  <si>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</si>
  <si>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</si>
  <si>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</si>
  <si>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</si>
  <si>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</si>
  <si>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</si>
  <si>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</si>
  <si>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</si>
  <si>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</si>
  <si>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</si>
  <si>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</si>
  <si>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</si>
  <si>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</si>
  <si>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</si>
  <si>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</si>
  <si>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</si>
  <si>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</si>
  <si>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</si>
  <si>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</si>
  <si>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</si>
  <si>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</si>
  <si>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</si>
  <si>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</si>
  <si>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</si>
  <si>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</si>
  <si>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</si>
  <si>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</si>
  <si>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</si>
  <si>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</si>
  <si>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</si>
  <si>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</si>
  <si>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</si>
  <si>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</si>
  <si>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</si>
  <si>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</si>
  <si>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</si>
  <si>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</si>
  <si>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</si>
  <si>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</si>
  <si>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</si>
  <si>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</si>
  <si>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</si>
  <si>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</si>
  <si>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</si>
  <si>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</si>
  <si>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</si>
  <si>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</si>
  <si>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</si>
  <si>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</si>
  <si>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</si>
  <si>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</si>
  <si>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</si>
  <si>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</si>
  <si>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</si>
  <si>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</si>
  <si>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</si>
  <si>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</si>
  <si>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</si>
  <si>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</si>
  <si>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</si>
  <si>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</si>
  <si>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</si>
  <si>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</si>
  <si>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</si>
  <si>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</si>
  <si>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</si>
  <si>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</si>
  <si>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</si>
  <si>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</si>
  <si>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</si>
  <si>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</si>
  <si>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</si>
  <si>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</si>
  <si>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</si>
  <si>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</si>
  <si>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</si>
  <si>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</si>
  <si>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</si>
  <si>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</si>
  <si>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</si>
  <si>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</si>
  <si>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</si>
  <si>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</si>
  <si>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</si>
  <si>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</si>
  <si>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</si>
  <si>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</si>
  <si>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</si>
  <si>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</si>
  <si>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</si>
  <si>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</si>
  <si>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</si>
  <si>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</si>
  <si>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</si>
  <si>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</si>
  <si>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</si>
  <si>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</si>
  <si>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</si>
  <si>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</si>
  <si>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</si>
  <si>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</si>
  <si>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</si>
  <si>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</si>
  <si>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</si>
  <si>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</si>
  <si>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</si>
  <si>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</si>
  <si>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</si>
  <si>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</si>
  <si>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</si>
  <si>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</si>
  <si>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</si>
  <si>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</si>
  <si>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</si>
  <si>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</si>
  <si>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</si>
  <si>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</si>
  <si>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</si>
  <si>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</si>
  <si>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</si>
  <si>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</si>
  <si>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</si>
  <si>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</si>
  <si>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</si>
  <si>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</si>
  <si>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</si>
  <si>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</si>
  <si>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</si>
  <si>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</si>
  <si>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</si>
  <si>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</si>
  <si>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</si>
  <si>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</si>
  <si>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</si>
  <si>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</si>
  <si>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</si>
  <si>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</si>
  <si>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</si>
  <si>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</si>
  <si>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</si>
  <si>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</si>
  <si>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</si>
  <si>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</si>
  <si>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</si>
  <si>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</si>
  <si>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</si>
  <si>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</si>
  <si>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</si>
  <si>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</si>
  <si>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</si>
  <si>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</si>
  <si>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</si>
  <si>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</si>
  <si>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</si>
  <si>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</si>
  <si>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</si>
  <si>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</si>
  <si>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</si>
  <si>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</si>
  <si>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</si>
  <si>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</si>
  <si>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</si>
  <si>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</si>
  <si>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</si>
  <si>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</si>
  <si>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</si>
  <si>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</si>
  <si>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</si>
  <si>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</si>
  <si>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</si>
  <si>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</si>
  <si>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</si>
  <si>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</si>
  <si>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</si>
  <si>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</si>
  <si>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</si>
  <si>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</si>
  <si>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</si>
  <si>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</si>
  <si>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</si>
  <si>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</si>
  <si>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</si>
  <si>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</si>
  <si>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</si>
  <si>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</si>
  <si>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</si>
  <si>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</si>
  <si>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</si>
  <si>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</si>
  <si>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</si>
  <si>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</si>
  <si>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</si>
  <si>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</si>
  <si>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</si>
  <si>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</si>
  <si>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</si>
  <si>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</si>
  <si>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</si>
  <si>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</si>
  <si>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</si>
  <si>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</si>
  <si>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</si>
  <si>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</si>
  <si>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</si>
  <si>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</si>
  <si>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</si>
  <si>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</si>
  <si>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</si>
  <si>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</si>
  <si>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</si>
  <si>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</si>
  <si>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</si>
  <si>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</si>
  <si>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</si>
  <si>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</si>
  <si>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</si>
  <si>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</si>
  <si>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</si>
  <si>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</si>
  <si>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</si>
  <si>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</si>
  <si>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</si>
  <si>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</si>
  <si>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</si>
  <si>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</si>
  <si>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</si>
  <si>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</si>
  <si>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</si>
  <si>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</si>
  <si>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</si>
  <si>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</si>
  <si>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</si>
  <si>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</si>
  <si>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</si>
  <si>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</si>
  <si>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</si>
  <si>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</si>
  <si>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</si>
  <si>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</si>
  <si>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</si>
  <si>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</si>
  <si>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</si>
  <si>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</si>
  <si>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</si>
  <si>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</si>
  <si>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</si>
  <si>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</si>
  <si>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</si>
  <si>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</si>
  <si>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</si>
  <si>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</si>
  <si>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</si>
  <si>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</si>
  <si>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</si>
  <si>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</si>
  <si>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</si>
  <si>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</si>
  <si>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</si>
  <si>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</si>
  <si>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</si>
  <si>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</si>
  <si>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</si>
  <si>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</si>
  <si>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</si>
  <si>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</si>
  <si>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</si>
  <si>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</si>
  <si>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</si>
  <si>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</si>
  <si>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</si>
  <si>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</si>
  <si>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</si>
  <si>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</si>
  <si>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</si>
  <si>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</si>
  <si>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</si>
  <si>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</si>
  <si>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</si>
  <si>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</si>
  <si>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</si>
  <si>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</si>
  <si>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</si>
  <si>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</si>
  <si>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</si>
  <si>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</si>
  <si>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</si>
  <si>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</si>
  <si>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</si>
  <si>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</si>
  <si>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</si>
  <si>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</si>
  <si>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</si>
  <si>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</si>
  <si>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</si>
  <si>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</si>
  <si>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</si>
  <si>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</si>
  <si>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</si>
  <si>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</si>
  <si>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</si>
  <si>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</si>
  <si>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</si>
  <si>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</si>
  <si>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</si>
  <si>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</si>
  <si>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</si>
  <si>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</si>
  <si>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</si>
  <si>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</si>
  <si>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</si>
  <si>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</si>
  <si>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</si>
  <si>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</si>
  <si>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</si>
  <si>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</si>
  <si>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</si>
  <si>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</si>
  <si>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</si>
  <si>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</si>
  <si>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</si>
  <si>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</si>
  <si>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</si>
  <si>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</si>
  <si>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</si>
  <si>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</si>
  <si>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</si>
  <si>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</si>
  <si>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</si>
  <si>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</si>
  <si>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</si>
  <si>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</si>
  <si>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</si>
  <si>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</si>
  <si>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</si>
  <si>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</si>
  <si>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</si>
  <si>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</si>
  <si>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</si>
  <si>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</si>
  <si>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</si>
  <si>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</si>
  <si>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</si>
  <si>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</si>
  <si>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</si>
  <si>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</si>
  <si>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</si>
  <si>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</si>
  <si>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</si>
  <si>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</si>
  <si>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</si>
  <si>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</si>
  <si>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</si>
  <si>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</si>
  <si>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</si>
  <si>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</si>
  <si>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</si>
  <si>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</si>
  <si>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</si>
  <si>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</si>
  <si>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</si>
  <si>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</si>
  <si>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</si>
  <si>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</si>
  <si>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</si>
  <si>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</si>
  <si>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</si>
  <si>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</si>
  <si>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</si>
  <si>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</si>
  <si>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</si>
  <si>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</si>
  <si>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</si>
  <si>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</si>
  <si>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</si>
  <si>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</si>
  <si>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</si>
  <si>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</si>
  <si>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</si>
  <si>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</si>
  <si>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</si>
  <si>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</si>
  <si>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</si>
  <si>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</si>
  <si>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</si>
  <si>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</si>
  <si>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</si>
  <si>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</si>
  <si>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</si>
  <si>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</si>
  <si>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</si>
  <si>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</si>
  <si>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</si>
  <si>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</si>
  <si>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</si>
  <si>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</si>
  <si>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</si>
  <si>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</si>
  <si>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</si>
  <si>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</si>
  <si>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</si>
  <si>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</si>
  <si>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</si>
  <si>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</si>
  <si>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</si>
  <si>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</si>
  <si>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</si>
  <si>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</si>
  <si>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</si>
  <si>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</si>
  <si>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</si>
  <si>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</si>
  <si>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</si>
  <si>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</si>
  <si>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</si>
  <si>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</si>
  <si>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</si>
  <si>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</si>
  <si>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</si>
  <si>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</si>
  <si>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</si>
  <si>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</si>
  <si>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</si>
  <si>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</si>
  <si>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</si>
  <si>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</si>
  <si>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</si>
  <si>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</si>
  <si>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</si>
  <si>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</si>
  <si>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</si>
  <si>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</si>
  <si>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</si>
  <si>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</si>
  <si>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</si>
  <si>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</si>
  <si>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</si>
  <si>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</si>
  <si>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</si>
  <si>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</si>
  <si>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</si>
  <si>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</si>
  <si>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</si>
  <si>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</si>
  <si>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</si>
  <si>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</si>
  <si>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</si>
  <si>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</si>
  <si>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</si>
  <si>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</si>
  <si>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</si>
  <si>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</si>
  <si>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</si>
  <si>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</si>
  <si>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</si>
  <si>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</si>
  <si>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</si>
  <si>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</si>
  <si>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</si>
  <si>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</si>
  <si>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</si>
  <si>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</si>
  <si>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</si>
  <si>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</si>
  <si>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</si>
  <si>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</si>
  <si>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</si>
  <si>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</si>
  <si>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</si>
  <si>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</si>
  <si>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</si>
  <si>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</si>
  <si>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</si>
  <si>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</si>
  <si>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</si>
  <si>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</si>
  <si>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</si>
  <si>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</si>
  <si>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</si>
  <si>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</si>
  <si>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</si>
  <si>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</si>
  <si>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</si>
  <si>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</si>
  <si>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</si>
  <si>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</si>
  <si>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</si>
  <si>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</si>
  <si>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</si>
  <si>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</si>
  <si>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</si>
  <si>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</si>
  <si>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</si>
  <si>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</si>
  <si>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</si>
  <si>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</si>
  <si>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</si>
  <si>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</si>
  <si>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</si>
  <si>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</si>
  <si>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</si>
  <si>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</si>
  <si>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</si>
  <si>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</si>
  <si>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</si>
  <si>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</si>
  <si>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</si>
  <si>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</si>
  <si>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</si>
  <si>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</si>
  <si>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</si>
  <si>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</si>
  <si>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</si>
  <si>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</si>
  <si>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</si>
  <si>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</si>
  <si>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</si>
  <si>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</si>
  <si>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</si>
  <si>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</si>
  <si>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</si>
  <si>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</si>
  <si>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</si>
  <si>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</si>
  <si>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</si>
  <si>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</si>
  <si>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</si>
  <si>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</si>
  <si>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</si>
  <si>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</si>
  <si>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</si>
  <si>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</si>
  <si>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</si>
  <si>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</si>
  <si>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</si>
  <si>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</si>
  <si>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</si>
  <si>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</si>
  <si>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</si>
  <si>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</si>
  <si>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</si>
  <si>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</si>
  <si>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</si>
  <si>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</si>
  <si>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</si>
  <si>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</si>
  <si>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</si>
  <si>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</si>
  <si>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</si>
  <si>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</si>
  <si>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</si>
  <si>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</si>
  <si>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</si>
  <si>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</si>
  <si>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</si>
  <si>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</si>
  <si>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</si>
  <si>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</si>
  <si>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</si>
  <si>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</si>
  <si>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</si>
  <si>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</si>
  <si>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</si>
  <si>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</si>
  <si>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</si>
  <si>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</si>
  <si>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</si>
  <si>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</si>
  <si>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</si>
  <si>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</si>
  <si>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</si>
  <si>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</si>
  <si>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</si>
  <si>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</si>
  <si>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</si>
  <si>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</si>
  <si>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</si>
  <si>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</si>
  <si>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</si>
  <si>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</si>
  <si>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</si>
  <si>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</si>
  <si>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</si>
  <si>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</si>
  <si>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</si>
  <si>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</si>
  <si>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</si>
  <si>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</si>
  <si>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</si>
  <si>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</si>
  <si>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</si>
  <si>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</si>
  <si>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</si>
  <si>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</si>
  <si>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</si>
  <si>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</si>
  <si>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</si>
  <si>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</si>
  <si>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</si>
  <si>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</si>
  <si>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</si>
  <si>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</si>
  <si>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</si>
  <si>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</si>
  <si>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</si>
  <si>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</si>
  <si>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</si>
  <si>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</si>
  <si>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</si>
  <si>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</si>
  <si>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</si>
  <si>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</si>
  <si>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</si>
  <si>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</si>
  <si>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</si>
  <si>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</si>
  <si>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</si>
  <si>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</si>
  <si>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</si>
  <si>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</si>
  <si>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</si>
  <si>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</si>
  <si>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</si>
  <si>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</si>
  <si>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</si>
  <si>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</si>
  <si>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</si>
  <si>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</si>
  <si>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</si>
  <si>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</si>
  <si>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</si>
  <si>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</si>
  <si>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</si>
  <si>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</si>
  <si>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</si>
  <si>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</si>
  <si>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</si>
  <si>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</si>
  <si>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</si>
  <si>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</si>
  <si>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</si>
  <si>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</si>
  <si>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</si>
  <si>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</si>
  <si>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</si>
  <si>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</si>
  <si>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</si>
  <si>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</si>
  <si>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</si>
  <si>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</si>
  <si>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</si>
  <si>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</si>
  <si>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</si>
  <si>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</si>
  <si>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</si>
  <si>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</si>
  <si>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</si>
  <si>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</si>
  <si>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</si>
  <si>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</si>
  <si>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</si>
  <si>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</si>
  <si>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</si>
  <si>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</si>
  <si>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</si>
  <si>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</si>
  <si>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</si>
  <si>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</si>
  <si>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</si>
  <si>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</si>
  <si>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</si>
  <si>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</si>
  <si>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</si>
  <si>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</si>
  <si>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</si>
  <si>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</si>
  <si>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</si>
  <si>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</si>
  <si>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</si>
  <si>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</si>
  <si>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</si>
  <si>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</si>
  <si>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</si>
  <si>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</si>
  <si>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</si>
  <si>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</si>
  <si>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</si>
  <si>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</si>
  <si>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</si>
  <si>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</si>
  <si>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</si>
  <si>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</si>
  <si>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</si>
  <si>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</si>
  <si>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</si>
  <si>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</si>
  <si>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</si>
  <si>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</si>
  <si>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</si>
  <si>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</si>
  <si>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</si>
  <si>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</si>
  <si>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</si>
  <si>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</si>
  <si>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</si>
  <si>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</si>
  <si>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</si>
  <si>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</si>
  <si>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</si>
  <si>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</si>
  <si>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</si>
  <si>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</si>
  <si>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</si>
  <si>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</si>
  <si>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</si>
  <si>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</si>
  <si>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</si>
  <si>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</si>
  <si>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</si>
  <si>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</si>
  <si>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</si>
  <si>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</si>
  <si>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</si>
  <si>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</si>
  <si>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</si>
  <si>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</si>
  <si>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</si>
  <si>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</si>
  <si>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</si>
  <si>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</si>
  <si>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</si>
  <si>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</si>
  <si>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</si>
  <si>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</si>
  <si>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</si>
  <si>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</si>
  <si>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</si>
  <si>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</si>
  <si>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</si>
  <si>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</si>
  <si>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</si>
  <si>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</si>
  <si>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</si>
  <si>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</si>
  <si>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</si>
  <si>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</si>
  <si>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</si>
  <si>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</si>
  <si>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</si>
  <si>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</si>
  <si>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</si>
  <si>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</si>
  <si>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</si>
  <si>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</si>
  <si>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</si>
  <si>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</si>
  <si>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</si>
  <si>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</si>
  <si>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</si>
  <si>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</si>
  <si>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</si>
  <si>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</si>
  <si>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</si>
  <si>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</si>
  <si>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</si>
  <si>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</si>
  <si>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</si>
  <si>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</si>
  <si>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</si>
  <si>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</si>
  <si>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</si>
  <si>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</si>
  <si>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</si>
  <si>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</si>
  <si>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</si>
  <si>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</si>
  <si>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</si>
  <si>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</si>
  <si>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</si>
  <si>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</si>
  <si>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</si>
  <si>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</si>
  <si>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</si>
  <si>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</si>
  <si>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</si>
  <si>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</si>
  <si>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</si>
  <si>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</si>
  <si>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</si>
  <si>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</si>
  <si>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</si>
  <si>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</si>
  <si>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</si>
  <si>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</si>
  <si>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</si>
  <si>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</si>
  <si>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</si>
  <si>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</si>
  <si>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</si>
  <si>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</si>
  <si>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</si>
  <si>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</si>
  <si>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</si>
  <si>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</si>
  <si>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</si>
  <si>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</si>
  <si>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</si>
  <si>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</si>
  <si>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</si>
  <si>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</si>
  <si>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</si>
  <si>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</si>
  <si>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</si>
  <si>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</si>
  <si>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</si>
  <si>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</si>
  <si>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</si>
  <si>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</si>
  <si>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</si>
  <si>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</si>
  <si>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</si>
  <si>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</si>
  <si>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</si>
  <si>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</si>
  <si>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</si>
  <si>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</si>
  <si>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</si>
  <si>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</si>
  <si>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</si>
  <si>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</si>
  <si>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</si>
  <si>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</si>
  <si>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</si>
  <si>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</si>
  <si>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</si>
  <si>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</si>
  <si>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</si>
  <si>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</si>
  <si>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</si>
  <si>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</si>
  <si>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</si>
  <si>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</si>
  <si>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</si>
  <si>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</si>
  <si>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</si>
  <si>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</si>
  <si>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</si>
  <si>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</si>
  <si>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</si>
  <si>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</si>
  <si>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</si>
  <si>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</si>
  <si>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</si>
  <si>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</si>
  <si>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</si>
  <si>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</si>
  <si>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</si>
  <si>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</si>
  <si>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</si>
  <si>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</si>
  <si>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</si>
  <si>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</si>
  <si>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</si>
  <si>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</si>
  <si>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</si>
  <si>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</si>
  <si>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</si>
  <si>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</si>
  <si>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</si>
  <si>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</si>
  <si>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</si>
  <si>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</si>
  <si>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</si>
  <si>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</si>
  <si>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</si>
  <si>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</si>
  <si>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</si>
  <si>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</si>
  <si>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</si>
  <si>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</si>
  <si>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</si>
  <si>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</si>
  <si>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</si>
  <si>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</si>
  <si>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</si>
  <si>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</si>
  <si>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</si>
  <si>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</si>
  <si>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</si>
  <si>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</si>
  <si>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</si>
  <si>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</si>
  <si>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</si>
  <si>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</si>
  <si>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</si>
  <si>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</si>
  <si>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</si>
  <si>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</si>
  <si>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</si>
  <si>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</si>
  <si>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</si>
  <si>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</si>
  <si>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</si>
  <si>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</si>
  <si>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</si>
  <si>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</si>
  <si>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</si>
  <si>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</si>
  <si>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</si>
  <si>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</si>
  <si>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</si>
  <si>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</si>
  <si>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</si>
  <si>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</si>
  <si>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</si>
  <si>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</si>
  <si>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</si>
  <si>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</si>
  <si>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</si>
  <si>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</si>
  <si>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</si>
  <si>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</si>
  <si>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</si>
  <si>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</si>
  <si>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</si>
  <si>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</si>
  <si>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</si>
  <si>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</si>
  <si>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</si>
  <si>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</si>
  <si>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</si>
  <si>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</si>
  <si>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</si>
  <si>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</si>
  <si>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</si>
  <si>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</si>
  <si>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</si>
  <si>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</si>
  <si>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</si>
  <si>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</si>
  <si>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</si>
  <si>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</si>
  <si>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</si>
  <si>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</si>
  <si>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</si>
  <si>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</si>
  <si>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</si>
  <si>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</si>
  <si>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</si>
  <si>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</si>
  <si>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</si>
  <si>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</si>
  <si>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</si>
  <si>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</si>
  <si>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</si>
  <si>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</si>
  <si>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</si>
  <si>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</si>
  <si>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</si>
  <si>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</si>
  <si>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</si>
  <si>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</si>
  <si>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</si>
  <si>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</si>
  <si>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</si>
  <si>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</si>
  <si>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</si>
  <si>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</si>
  <si>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</si>
  <si>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</si>
  <si>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</si>
  <si>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</si>
  <si>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</si>
  <si>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</si>
  <si>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</si>
  <si>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</si>
  <si>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</si>
  <si>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</si>
  <si>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</si>
  <si>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</si>
  <si>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</si>
  <si>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</si>
  <si>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</si>
  <si>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</si>
  <si>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</si>
  <si>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</si>
  <si>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</si>
  <si>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</si>
  <si>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</si>
  <si>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</si>
  <si>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</si>
  <si>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</si>
  <si>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</si>
  <si>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</si>
  <si>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</si>
  <si>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</si>
  <si>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</si>
  <si>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</si>
  <si>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</si>
  <si>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</si>
  <si>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</si>
  <si>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</si>
  <si>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</si>
  <si>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</si>
  <si>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</si>
  <si>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</si>
  <si>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</si>
  <si>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</si>
  <si>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</si>
  <si>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</si>
  <si>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</si>
  <si>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</si>
  <si>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</si>
  <si>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</si>
  <si>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</si>
  <si>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</si>
  <si>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</si>
  <si>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</si>
  <si>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</si>
  <si>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</si>
  <si>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</si>
  <si>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</si>
  <si>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</si>
  <si>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</si>
  <si>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</si>
  <si>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</si>
  <si>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</si>
  <si>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</si>
  <si>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</si>
  <si>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</si>
  <si>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</si>
  <si>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</si>
  <si>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</si>
  <si>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</si>
  <si>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</si>
  <si>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</si>
  <si>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</si>
  <si>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</si>
  <si>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</si>
  <si>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</si>
  <si>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</si>
  <si>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</si>
  <si>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</si>
  <si>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</si>
  <si>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</si>
  <si>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</si>
  <si>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</si>
  <si>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</si>
  <si>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</si>
  <si>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</si>
  <si>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</si>
  <si>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</si>
  <si>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</si>
  <si>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</si>
  <si>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</si>
  <si>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</si>
  <si>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</si>
  <si>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</si>
  <si>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</si>
  <si>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</si>
  <si>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</si>
  <si>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</si>
  <si>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</si>
  <si>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</si>
  <si>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</si>
  <si>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</si>
  <si>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</si>
  <si>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</si>
  <si>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</si>
  <si>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</si>
  <si>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</si>
  <si>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</si>
  <si>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</si>
  <si>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</si>
  <si>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</si>
  <si>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</si>
  <si>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</si>
  <si>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</si>
  <si>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</si>
  <si>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</si>
  <si>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</si>
  <si>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</si>
  <si>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</si>
  <si>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</si>
  <si>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</si>
  <si>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</si>
  <si>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</si>
  <si>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</si>
  <si>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</si>
  <si>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</si>
  <si>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</si>
  <si>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</si>
  <si>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</si>
  <si>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</si>
  <si>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</si>
  <si>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</si>
  <si>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</si>
  <si>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</si>
  <si>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</si>
  <si>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</si>
  <si>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</si>
  <si>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</si>
  <si>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</si>
  <si>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</si>
  <si>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</si>
  <si>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</si>
  <si>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</si>
  <si>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</si>
  <si>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</si>
  <si>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</si>
  <si>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</si>
  <si>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</si>
  <si>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</si>
  <si>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</si>
  <si>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</si>
  <si>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</si>
  <si>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</si>
  <si>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</si>
  <si>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</si>
  <si>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</si>
  <si>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</si>
  <si>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</si>
  <si>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</si>
  <si>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</si>
  <si>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</si>
  <si>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</si>
  <si>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</si>
  <si>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</si>
  <si>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</si>
  <si>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</si>
  <si>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</si>
  <si>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</si>
  <si>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</si>
  <si>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</si>
  <si>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</si>
  <si>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</si>
  <si>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</si>
  <si>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</si>
  <si>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</si>
  <si>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</si>
  <si>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</si>
  <si>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</si>
  <si>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</si>
  <si>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</si>
  <si>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</si>
  <si>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</si>
  <si>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</si>
  <si>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</si>
  <si>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</si>
  <si>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</si>
  <si>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</si>
  <si>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</si>
  <si>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</si>
  <si>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</si>
  <si>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</si>
  <si>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</si>
  <si>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</si>
  <si>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</si>
  <si>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</si>
  <si>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</si>
  <si>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</si>
  <si>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</si>
  <si>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</si>
  <si>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</si>
  <si>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</si>
  <si>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</si>
  <si>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</si>
  <si>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</si>
  <si>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</si>
  <si>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</si>
  <si>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</si>
  <si>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</si>
  <si>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</si>
  <si>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</si>
  <si>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</si>
  <si>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</si>
  <si>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</si>
  <si>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</si>
  <si>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</si>
  <si>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</si>
  <si>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</si>
  <si>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</si>
  <si>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</si>
  <si>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</si>
  <si>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</si>
  <si>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</si>
  <si>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</si>
  <si>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</si>
  <si>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</si>
  <si>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</si>
  <si>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</si>
  <si>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</si>
  <si>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</si>
  <si>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</si>
  <si>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</si>
  <si>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</si>
  <si>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</si>
  <si>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</si>
  <si>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</si>
  <si>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</si>
  <si>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</si>
  <si>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</si>
  <si>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</si>
  <si>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</si>
  <si>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</si>
  <si>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</si>
  <si>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</si>
  <si>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</si>
  <si>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</si>
  <si>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</si>
  <si>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</si>
  <si>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</si>
  <si>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</si>
  <si>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</si>
  <si>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</si>
  <si>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</si>
  <si>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</si>
  <si>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</si>
  <si>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</si>
  <si>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</si>
  <si>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</si>
  <si>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</si>
  <si>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</si>
  <si>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</si>
  <si>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</si>
  <si>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</si>
  <si>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</si>
  <si>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</si>
  <si>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</si>
  <si>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</si>
  <si>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</si>
  <si>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</si>
  <si>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</si>
  <si>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</si>
  <si>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</si>
  <si>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</si>
  <si>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</si>
  <si>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</si>
  <si>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</si>
  <si>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</si>
  <si>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</si>
  <si>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</si>
  <si>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</si>
  <si>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</si>
  <si>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</si>
  <si>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</si>
  <si>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</si>
  <si>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</si>
  <si>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</si>
  <si>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</si>
  <si>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</si>
  <si>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</si>
  <si>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</si>
  <si>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</si>
  <si>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</si>
  <si>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</si>
  <si>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</si>
  <si>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</si>
  <si>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</si>
  <si>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</si>
  <si>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</si>
  <si>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</si>
  <si>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</si>
  <si>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</si>
  <si>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</si>
  <si>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</si>
  <si>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</si>
  <si>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</si>
  <si>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</si>
  <si>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</si>
  <si>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</si>
  <si>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</si>
  <si>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</si>
  <si>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</si>
  <si>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</si>
  <si>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</si>
  <si>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</si>
  <si>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</si>
  <si>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</si>
  <si>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</si>
  <si>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</si>
  <si>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</si>
  <si>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</si>
  <si>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</si>
  <si>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</si>
  <si>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</si>
  <si>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</si>
  <si>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</si>
  <si>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</si>
  <si>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</si>
  <si>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</si>
  <si>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</si>
  <si>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</si>
  <si>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</si>
  <si>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</si>
  <si>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</si>
  <si>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</si>
  <si>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</si>
  <si>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</si>
  <si>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</si>
  <si>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</si>
  <si>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</si>
  <si>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</si>
  <si>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</si>
  <si>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</si>
  <si>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</si>
  <si>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</si>
  <si>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</si>
  <si>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</si>
  <si>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</si>
  <si>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</si>
  <si>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</si>
  <si>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</si>
  <si>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</si>
  <si>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</si>
  <si>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</si>
  <si>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</si>
  <si>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</si>
  <si>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</si>
  <si>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</si>
  <si>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</si>
  <si>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</si>
  <si>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</si>
  <si>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</si>
  <si>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</si>
  <si>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</si>
  <si>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</si>
  <si>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</si>
  <si>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</si>
  <si>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</si>
  <si>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</si>
  <si>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</si>
  <si>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</si>
  <si>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</si>
  <si>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</si>
  <si>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</si>
  <si>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</si>
  <si>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</si>
  <si>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</si>
  <si>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</si>
  <si>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</si>
  <si>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</si>
  <si>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</si>
  <si>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</si>
  <si>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</si>
  <si>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</si>
  <si>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</si>
  <si>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</si>
  <si>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</si>
  <si>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</si>
  <si>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</si>
  <si>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</si>
  <si>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</si>
  <si>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</si>
  <si>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</si>
  <si>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</si>
  <si>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</si>
  <si>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</si>
  <si>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</si>
  <si>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</si>
  <si>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</si>
  <si>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</si>
  <si>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</si>
  <si>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</si>
  <si>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</si>
  <si>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</si>
  <si>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</si>
  <si>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</si>
  <si>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</si>
  <si>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</si>
  <si>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</si>
  <si>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</si>
  <si>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</si>
  <si>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</si>
  <si>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</si>
  <si>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</si>
  <si>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</si>
  <si>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</si>
  <si>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</si>
  <si>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</si>
  <si>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</si>
  <si>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</si>
  <si>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</si>
  <si>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</si>
  <si>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</si>
  <si>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</si>
  <si>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</si>
  <si>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</si>
  <si>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</si>
  <si>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</si>
  <si>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</si>
  <si>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</si>
  <si>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</si>
  <si>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</si>
  <si>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</si>
  <si>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</si>
  <si>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</si>
  <si>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</si>
  <si>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</si>
  <si>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</si>
  <si>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</si>
  <si>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</si>
  <si>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</si>
  <si>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</si>
  <si>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</si>
  <si>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</si>
  <si>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</si>
  <si>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</si>
  <si>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</si>
  <si>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</si>
  <si>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</si>
  <si>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</si>
  <si>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</si>
  <si>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</si>
  <si>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</si>
  <si>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</si>
  <si>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</si>
  <si>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</si>
  <si>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</si>
  <si>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</si>
  <si>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</si>
  <si>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</si>
  <si>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</si>
  <si>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</si>
  <si>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</si>
  <si>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</si>
  <si>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</si>
  <si>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</si>
  <si>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</si>
  <si>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</si>
  <si>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</si>
  <si>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</si>
  <si>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</si>
  <si>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</si>
  <si>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</si>
  <si>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</si>
  <si>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</si>
  <si>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</si>
  <si>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</si>
  <si>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</si>
  <si>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</si>
  <si>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</si>
  <si>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</si>
  <si>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</si>
  <si>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</si>
  <si>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</si>
  <si>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</si>
  <si>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</si>
  <si>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</si>
  <si>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</si>
  <si>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</si>
  <si>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</si>
  <si>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</si>
  <si>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</si>
  <si>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</si>
  <si>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</si>
  <si>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</si>
  <si>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</si>
  <si>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</si>
  <si>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</si>
  <si>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</si>
  <si>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</si>
  <si>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</si>
  <si>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</si>
  <si>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</si>
  <si>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</si>
  <si>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</si>
  <si>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</si>
  <si>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</si>
  <si>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</si>
  <si>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</si>
  <si>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</si>
  <si>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</si>
  <si>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</si>
  <si>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</si>
  <si>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</si>
  <si>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</si>
  <si>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</si>
  <si>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</si>
  <si>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</si>
  <si>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</si>
  <si>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</si>
  <si>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</si>
  <si>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</si>
  <si>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</si>
  <si>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</si>
  <si>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</si>
  <si>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</si>
  <si>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</si>
  <si>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</si>
  <si>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</si>
  <si>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</si>
  <si>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</si>
  <si>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</si>
  <si>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</si>
  <si>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</si>
  <si>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</si>
  <si>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</si>
  <si>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</si>
  <si>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</si>
  <si>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</si>
  <si>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</si>
  <si>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</si>
  <si>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</si>
  <si>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</si>
  <si>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</si>
  <si>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</si>
  <si>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</si>
  <si>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</si>
  <si>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</si>
  <si>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</si>
  <si>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</si>
  <si>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</si>
  <si>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</si>
  <si>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</si>
  <si>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</si>
  <si>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</si>
  <si>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</si>
  <si>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</si>
  <si>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</si>
  <si>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</si>
  <si>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</si>
  <si>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</si>
  <si>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</si>
  <si>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</si>
  <si>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</si>
  <si>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</si>
  <si>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</si>
  <si>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</si>
  <si>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</si>
  <si>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</si>
  <si>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</si>
  <si>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</si>
  <si>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</si>
  <si>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</si>
  <si>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</si>
  <si>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</si>
  <si>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</si>
  <si>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</si>
  <si>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</si>
  <si>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</si>
  <si>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</si>
  <si>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</si>
  <si>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</si>
  <si>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</si>
  <si>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</si>
  <si>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</si>
  <si>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</si>
  <si>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</si>
  <si>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</si>
  <si>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</si>
  <si>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</si>
  <si>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</si>
  <si>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</si>
  <si>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</si>
  <si>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</si>
  <si>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</si>
  <si>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</si>
  <si>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</si>
  <si>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</si>
  <si>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</si>
  <si>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</si>
  <si>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</si>
  <si>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</si>
  <si>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</si>
  <si>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</si>
  <si>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</si>
  <si>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</si>
  <si>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</si>
  <si>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</si>
  <si>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</si>
  <si>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</si>
  <si>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</si>
  <si>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</si>
  <si>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</si>
  <si>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</si>
  <si>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</si>
  <si>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</si>
  <si>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</si>
  <si>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</si>
  <si>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</si>
  <si>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</si>
  <si>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</si>
  <si>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</si>
  <si>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</si>
  <si>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</si>
  <si>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</si>
  <si>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</si>
  <si>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</si>
  <si>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</si>
  <si>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</si>
  <si>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</si>
  <si>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</si>
  <si>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</si>
  <si>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</si>
  <si>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</si>
  <si>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</si>
  <si>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</si>
  <si>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</si>
  <si>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</si>
  <si>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</si>
  <si>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</si>
  <si>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</si>
  <si>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</si>
  <si>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</si>
  <si>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</si>
  <si>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</si>
  <si>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</si>
  <si>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</si>
  <si>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</si>
  <si>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</si>
  <si>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</si>
  <si>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</si>
  <si>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</si>
  <si>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</si>
  <si>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</si>
  <si>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</si>
  <si>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</si>
  <si>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</si>
  <si>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</si>
  <si>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</si>
  <si>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</si>
  <si>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</si>
  <si>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</si>
  <si>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</si>
  <si>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</si>
  <si>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</si>
  <si>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</si>
  <si>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</si>
  <si>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</si>
  <si>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</si>
  <si>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</si>
  <si>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</si>
  <si>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</si>
  <si>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</si>
  <si>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</si>
  <si>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</si>
  <si>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</si>
  <si>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</si>
  <si>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</si>
  <si>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</si>
  <si>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</si>
  <si>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</si>
  <si>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</si>
  <si>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</si>
  <si>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</si>
  <si>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</si>
  <si>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</si>
  <si>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</si>
  <si>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</si>
  <si>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</si>
  <si>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</si>
  <si>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</si>
  <si>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</si>
  <si>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</si>
  <si>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</si>
  <si>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</si>
  <si>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</si>
  <si>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</si>
  <si>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</si>
  <si>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</si>
  <si>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</si>
  <si>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</si>
  <si>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</si>
  <si>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</si>
  <si>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</si>
  <si>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</si>
  <si>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</si>
  <si>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</si>
  <si>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</si>
  <si>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</si>
  <si>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</si>
  <si>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</si>
  <si>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</si>
  <si>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</si>
  <si>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</si>
  <si>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</si>
  <si>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</si>
  <si>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</si>
  <si>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</si>
  <si>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</si>
  <si>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</si>
  <si>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</si>
  <si>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</si>
  <si>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</si>
  <si>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</si>
  <si>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</si>
  <si>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</si>
  <si>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</si>
  <si>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</si>
  <si>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</si>
  <si>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</si>
  <si>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</si>
  <si>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</si>
  <si>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</si>
  <si>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</si>
  <si>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</si>
  <si>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</si>
  <si>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</si>
  <si>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</si>
  <si>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</si>
  <si>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</si>
  <si>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</si>
  <si>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</si>
  <si>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</si>
  <si>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</si>
  <si>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</si>
  <si>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</si>
  <si>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</si>
  <si>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</si>
  <si>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</si>
  <si>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</si>
  <si>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</si>
  <si>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</si>
  <si>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</si>
  <si>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</si>
  <si>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</si>
  <si>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</si>
  <si>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</si>
  <si>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</si>
  <si>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</si>
  <si>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</si>
  <si>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</si>
  <si>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</si>
  <si>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</si>
  <si>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</si>
  <si>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</si>
  <si>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</si>
  <si>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</si>
  <si>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</si>
  <si>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</si>
  <si>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</si>
  <si>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</si>
  <si>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</si>
  <si>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</si>
  <si>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</si>
  <si>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</si>
  <si>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</si>
  <si>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</si>
  <si>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</si>
  <si>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</si>
  <si>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</si>
  <si>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</si>
  <si>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</si>
  <si>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</si>
  <si>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</si>
  <si>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</si>
  <si>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</si>
  <si>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</si>
  <si>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</si>
  <si>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</si>
  <si>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</si>
  <si>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</si>
  <si>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</si>
  <si>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</si>
  <si>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</si>
  <si>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</si>
  <si>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</si>
  <si>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</si>
  <si>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</si>
  <si>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</si>
  <si>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</si>
  <si>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</si>
  <si>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</si>
  <si>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</si>
  <si>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</si>
  <si>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</si>
  <si>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</si>
  <si>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</si>
  <si>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</si>
  <si>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</si>
  <si>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</si>
  <si>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</si>
  <si>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</si>
  <si>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</si>
  <si>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</si>
  <si>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</si>
  <si>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</si>
  <si>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</si>
  <si>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</si>
  <si>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</si>
  <si>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</si>
  <si>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</si>
  <si>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</si>
  <si>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</si>
  <si>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</si>
  <si>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</si>
  <si>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</si>
  <si>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</si>
  <si>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</si>
  <si>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</si>
  <si>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</si>
  <si>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</si>
  <si>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</si>
  <si>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</si>
  <si>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</si>
  <si>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</si>
  <si>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</si>
  <si>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</si>
  <si>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</si>
  <si>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</si>
  <si>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</si>
  <si>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</si>
  <si>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</si>
  <si>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</si>
  <si>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</si>
  <si>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</si>
  <si>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</si>
  <si>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</si>
  <si>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</si>
  <si>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</si>
  <si>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</si>
  <si>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</si>
  <si>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</si>
  <si>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</si>
  <si>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</si>
  <si>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</si>
  <si>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</si>
  <si>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</si>
  <si>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</si>
  <si>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</si>
  <si>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</si>
  <si>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</si>
  <si>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</si>
  <si>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</si>
  <si>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</si>
  <si>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</si>
  <si>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</si>
  <si>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</si>
  <si>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</si>
  <si>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</si>
  <si>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</si>
  <si>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</si>
  <si>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</si>
  <si>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</si>
  <si>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</si>
  <si>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</si>
  <si>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</si>
  <si>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</si>
  <si>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</si>
  <si>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</si>
  <si>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</si>
  <si>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</si>
  <si>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</si>
  <si>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</si>
  <si>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</si>
  <si>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</si>
  <si>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</si>
  <si>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</si>
  <si>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</si>
  <si>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</si>
  <si>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</si>
  <si>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</si>
  <si>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</si>
  <si>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</si>
  <si>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</si>
  <si>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</si>
  <si>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</si>
  <si>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</si>
  <si>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</si>
  <si>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</si>
  <si>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</si>
  <si>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</si>
  <si>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</si>
  <si>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</si>
  <si>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</si>
  <si>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</si>
  <si>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</si>
  <si>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</si>
  <si>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</si>
  <si>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</si>
  <si>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</si>
  <si>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</si>
  <si>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</si>
  <si>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</si>
  <si>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</si>
  <si>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</si>
  <si>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</si>
  <si>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</si>
  <si>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</si>
  <si>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</si>
  <si>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</si>
  <si>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</si>
  <si>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</si>
  <si>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</si>
  <si>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</si>
  <si>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</si>
  <si>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</si>
  <si>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</si>
  <si>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</si>
  <si>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</si>
  <si>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</si>
  <si>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</si>
  <si>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</si>
  <si>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</si>
  <si>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</si>
  <si>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</si>
  <si>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</si>
  <si>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</si>
  <si>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</si>
  <si>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</si>
  <si>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</si>
  <si>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</si>
  <si>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</si>
  <si>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</si>
  <si>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</si>
  <si>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</si>
  <si>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</si>
  <si>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</si>
  <si>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</si>
  <si>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</si>
  <si>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</si>
  <si>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</si>
  <si>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</si>
  <si>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</si>
  <si>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</si>
  <si>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</si>
  <si>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</si>
  <si>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</si>
  <si>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</si>
  <si>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</si>
  <si>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</si>
  <si>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</si>
  <si>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</si>
  <si>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</si>
  <si>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</si>
  <si>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</si>
  <si>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</si>
  <si>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</si>
  <si>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</si>
  <si>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</si>
  <si>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</si>
  <si>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</si>
  <si>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</si>
  <si>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</si>
  <si>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</si>
  <si>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</si>
  <si>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</si>
  <si>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</si>
  <si>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</si>
  <si>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</si>
  <si>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</si>
  <si>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</si>
  <si>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</si>
  <si>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</si>
  <si>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</si>
  <si>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</si>
  <si>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</si>
  <si>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</si>
  <si>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</si>
  <si>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</si>
  <si>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</si>
  <si>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</si>
  <si>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</si>
  <si>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</si>
  <si>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</si>
  <si>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</si>
  <si>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</si>
  <si>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</si>
  <si>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</si>
  <si>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</si>
  <si>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</si>
  <si>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</si>
  <si>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</si>
  <si>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</si>
  <si>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</si>
  <si>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</si>
  <si>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</si>
  <si>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</si>
  <si>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</si>
  <si>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</si>
  <si>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</si>
  <si>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</si>
  <si>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</si>
  <si>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</si>
  <si>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</si>
  <si>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</si>
  <si>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</si>
  <si>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</si>
  <si>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</si>
  <si>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</si>
  <si>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</si>
  <si>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</si>
  <si>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</si>
  <si>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</si>
  <si>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</si>
  <si>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</si>
  <si>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</si>
  <si>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</si>
  <si>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</si>
  <si>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</si>
  <si>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</si>
  <si>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</si>
  <si>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</si>
  <si>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</si>
  <si>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</si>
  <si>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</si>
  <si>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</si>
  <si>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</si>
  <si>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</si>
  <si>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</si>
  <si>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</si>
  <si>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</si>
  <si>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</si>
  <si>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</si>
  <si>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</si>
  <si>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</si>
  <si>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</si>
  <si>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</si>
  <si>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</si>
  <si>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</si>
  <si>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</si>
  <si>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</si>
  <si>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</si>
  <si>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</si>
  <si>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</si>
  <si>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</si>
  <si>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</si>
  <si>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</si>
  <si>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</si>
  <si>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</si>
  <si>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</si>
  <si>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</si>
  <si>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</si>
  <si>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</si>
  <si>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</si>
  <si>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</si>
  <si>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</si>
  <si>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</si>
  <si>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</si>
  <si>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</si>
  <si>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</si>
  <si>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</si>
  <si>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</si>
  <si>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</si>
  <si>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</si>
  <si>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</si>
  <si>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</si>
  <si>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</si>
  <si>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</si>
  <si>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</si>
  <si>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</si>
  <si>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</si>
  <si>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</si>
  <si>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</si>
  <si>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</si>
  <si>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</si>
  <si>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</si>
  <si>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</si>
  <si>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</si>
  <si>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</si>
  <si>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</si>
  <si>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</si>
  <si>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</si>
  <si>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</si>
  <si>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</si>
  <si>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</si>
  <si>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</si>
  <si>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</si>
  <si>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</si>
  <si>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</si>
  <si>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</si>
  <si>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</si>
  <si>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</si>
  <si>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</si>
  <si>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</si>
  <si>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</si>
  <si>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</si>
  <si>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</si>
  <si>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</si>
  <si>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</si>
  <si>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</si>
  <si>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</si>
  <si>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</si>
  <si>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</si>
  <si>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</si>
  <si>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</si>
  <si>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</si>
  <si>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</si>
  <si>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</si>
  <si>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</si>
  <si>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</si>
  <si>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</si>
  <si>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</si>
  <si>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</si>
  <si>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</si>
  <si>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</si>
  <si>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</si>
  <si>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</si>
  <si>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</si>
  <si>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</si>
  <si>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</si>
  <si>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</si>
  <si>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</si>
  <si>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</si>
  <si>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</si>
  <si>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</si>
  <si>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</si>
  <si>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</si>
  <si>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</si>
  <si>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</si>
  <si>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</si>
  <si>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</si>
  <si>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</si>
  <si>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</si>
  <si>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</si>
  <si>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</si>
  <si>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</si>
  <si>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</si>
  <si>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</si>
  <si>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</si>
  <si>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</si>
  <si>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</si>
  <si>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</si>
  <si>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</si>
  <si>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</si>
  <si>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</si>
  <si>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</si>
  <si>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</si>
  <si>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</si>
  <si>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</si>
  <si>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</si>
  <si>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</si>
  <si>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</si>
  <si>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</si>
  <si>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</si>
  <si>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</si>
  <si>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</si>
  <si>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</si>
  <si>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</si>
  <si>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</si>
  <si>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</si>
  <si>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</si>
  <si>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</si>
  <si>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</si>
  <si>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</si>
  <si>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</si>
  <si>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</si>
  <si>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</si>
  <si>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</si>
  <si>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</si>
  <si>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</si>
  <si>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</si>
  <si>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</si>
  <si>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</si>
  <si>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</si>
  <si>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</si>
  <si>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</si>
  <si>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</si>
  <si>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</si>
  <si>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</si>
  <si>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</si>
  <si>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</si>
  <si>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</si>
  <si>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</si>
  <si>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</si>
  <si>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</si>
  <si>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</si>
  <si>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</si>
  <si>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</si>
  <si>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</si>
  <si>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</si>
  <si>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</si>
  <si>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</si>
  <si>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</si>
  <si>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</si>
  <si>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</si>
  <si>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</si>
  <si>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</si>
  <si>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</si>
  <si>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</si>
  <si>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</si>
  <si>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</si>
  <si>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</si>
  <si>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</si>
  <si>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</si>
  <si>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</si>
  <si>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</si>
  <si>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</si>
  <si>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</si>
  <si>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</si>
  <si>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</si>
  <si>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</si>
  <si>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</si>
  <si>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</si>
  <si>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</si>
  <si>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</si>
  <si>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</si>
  <si>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</si>
  <si>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</si>
  <si>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</si>
  <si>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</si>
  <si>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</si>
  <si>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</si>
  <si>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</si>
  <si>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</si>
  <si>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</si>
  <si>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</si>
  <si>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</si>
  <si>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</si>
  <si>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</si>
  <si>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</si>
  <si>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</si>
  <si>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</si>
  <si>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</si>
  <si>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</si>
  <si>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</si>
  <si>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</si>
  <si>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</si>
  <si>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</si>
  <si>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</si>
  <si>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</si>
  <si>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</si>
  <si>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</si>
  <si>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</si>
  <si>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</si>
  <si>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</si>
  <si>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</si>
  <si>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</si>
  <si>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</si>
  <si>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</si>
  <si>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</si>
  <si>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</si>
  <si>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</si>
  <si>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</si>
  <si>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</si>
  <si>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</si>
  <si>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</si>
  <si>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</si>
  <si>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</si>
  <si>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</si>
  <si>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</si>
  <si>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</si>
  <si>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</si>
  <si>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</si>
  <si>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</si>
  <si>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</si>
  <si>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</si>
  <si>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</si>
  <si>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</si>
  <si>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</si>
  <si>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</si>
  <si>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</si>
  <si>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</si>
  <si>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</si>
  <si>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</si>
  <si>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</si>
  <si>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</si>
  <si>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</si>
  <si>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</si>
  <si>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</si>
  <si>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</si>
  <si>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</si>
  <si>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</si>
  <si>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</si>
  <si>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</si>
  <si>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</si>
  <si>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</si>
  <si>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</si>
  <si>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</si>
  <si>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</si>
  <si>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</si>
  <si>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</si>
  <si>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</si>
  <si>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</si>
  <si>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</si>
  <si>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</si>
  <si>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</si>
  <si>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</si>
  <si>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</si>
  <si>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</si>
  <si>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</si>
  <si>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</si>
  <si>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</si>
  <si>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</si>
  <si>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</si>
  <si>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</si>
  <si>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</si>
  <si>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</si>
  <si>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</si>
  <si>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</si>
  <si>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</si>
  <si>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</si>
  <si>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</si>
  <si>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</si>
  <si>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</si>
  <si>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</si>
  <si>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</si>
  <si>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</si>
  <si>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</si>
  <si>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</si>
  <si>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</si>
  <si>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</si>
  <si>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</si>
  <si>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</si>
  <si>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</si>
  <si>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</si>
  <si>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</si>
  <si>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</si>
  <si>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</si>
  <si>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</si>
  <si>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</si>
  <si>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</si>
  <si>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</si>
  <si>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</si>
  <si>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</si>
  <si>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</si>
  <si>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</si>
  <si>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</si>
  <si>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</si>
  <si>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</si>
  <si>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</si>
  <si>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</si>
  <si>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</si>
  <si>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</si>
  <si>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</si>
  <si>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</si>
  <si>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</si>
  <si>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</si>
  <si>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</si>
  <si>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</si>
  <si>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</si>
  <si>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</si>
  <si>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</si>
  <si>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</si>
  <si>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</si>
  <si>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</si>
  <si>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</si>
  <si>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</si>
  <si>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</si>
  <si>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</si>
  <si>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</si>
  <si>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</si>
  <si>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</si>
  <si>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</si>
  <si>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</si>
  <si>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</si>
  <si>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</si>
  <si>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</si>
  <si>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</si>
  <si>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</si>
  <si>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</si>
  <si>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</si>
  <si>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</si>
  <si>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</si>
  <si>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</si>
  <si>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</si>
  <si>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</si>
  <si>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</si>
  <si>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</si>
  <si>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</si>
  <si>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</si>
  <si>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</si>
  <si>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</si>
  <si>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</si>
  <si>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</si>
  <si>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</si>
  <si>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</si>
  <si>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</si>
  <si>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</si>
  <si>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</si>
  <si>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</si>
  <si>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</si>
  <si>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</si>
  <si>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</si>
  <si>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</si>
  <si>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</si>
  <si>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</si>
  <si>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</si>
  <si>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</si>
  <si>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</si>
  <si>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</si>
  <si>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</si>
  <si>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</si>
  <si>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</si>
  <si>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</si>
  <si>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</si>
  <si>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</si>
  <si>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</si>
  <si>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</si>
  <si>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</si>
  <si>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طلا برای مریم</t>
  </si>
  <si>
    <t>پارس 444 تا 4295.4</t>
  </si>
  <si>
    <t>طلا 250 تا 2997</t>
  </si>
  <si>
    <t>2/7/1398</t>
  </si>
  <si>
    <t xml:space="preserve">وغدیر 24000 تا </t>
  </si>
  <si>
    <t>وغدیر 39054 تا 293.2</t>
  </si>
  <si>
    <t>پول مادر کاظم</t>
  </si>
  <si>
    <t>پول مادر کاظم (39042 تا وغدیر)</t>
  </si>
  <si>
    <t>سارا پول مادر کاظم</t>
  </si>
  <si>
    <t>واریز به بورس سارا 3/7/98</t>
  </si>
  <si>
    <t>3/7/1398</t>
  </si>
  <si>
    <t>بجهرم</t>
  </si>
  <si>
    <t>تاصیکو</t>
  </si>
  <si>
    <t>پارس 130 تا 4866.2</t>
  </si>
  <si>
    <t>تاصیکو 2155 تا 2817</t>
  </si>
  <si>
    <t>شلرد 326 تا 308.3</t>
  </si>
  <si>
    <t>وغدیر 24108 تا 237.8</t>
  </si>
  <si>
    <t>شاراک 5424 تا 481.7</t>
  </si>
  <si>
    <t>طلب علی از مهدی سهام  138558 تا وغدیر</t>
  </si>
  <si>
    <t>بجهرم 1493 تا 199</t>
  </si>
  <si>
    <t>yaghmaie</t>
  </si>
  <si>
    <t>طلا 200 تا 2982.9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</si>
</sst>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I172" zoomScale="90" zoomScaleNormal="90" workbookViewId="0">
      <selection activeCell="S196" sqref="S19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5248</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5256</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5258</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5260</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5265</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20"/>
      <c r="Y80" s="20">
        <v>10000</v>
      </c>
      <c r="Z80" s="20">
        <v>7444</v>
      </c>
      <c r="AA80" s="20">
        <v>2427</v>
      </c>
      <c r="AB80" s="20">
        <f t="shared" si="20"/>
        <v>3.0671611042439224</v>
      </c>
      <c r="AC80" s="20">
        <f t="shared" si="21"/>
        <v>0.97954750419932102</v>
      </c>
      <c r="AD80" s="20"/>
      <c r="AE80" s="20">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52">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7" t="s">
        <v>5258</v>
      </c>
      <c r="Y88" s="277">
        <v>371</v>
      </c>
      <c r="Z88" s="277">
        <v>7620</v>
      </c>
      <c r="AA88" s="277">
        <v>2868</v>
      </c>
      <c r="AB88" s="277">
        <f t="shared" si="22"/>
        <v>2.6569037656903767</v>
      </c>
      <c r="AC88" s="277">
        <f t="shared" si="23"/>
        <v>0.84852518799182441</v>
      </c>
      <c r="AD88" s="277" t="s">
        <v>5187</v>
      </c>
      <c r="AE88" s="277">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7"/>
      <c r="Y89" s="277">
        <v>749</v>
      </c>
      <c r="Z89" s="277">
        <v>7346</v>
      </c>
      <c r="AA89" s="277">
        <v>2799</v>
      </c>
      <c r="AB89" s="23">
        <f t="shared" ref="AB89" si="24">Z89/AA89</f>
        <v>2.6245087531261166</v>
      </c>
      <c r="AC89" s="277">
        <f t="shared" ref="AC89" si="25">AB89/$X$75</f>
        <v>0.83817931680106128</v>
      </c>
      <c r="AD89" s="277" t="s">
        <v>5187</v>
      </c>
      <c r="AE89" s="277">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7"/>
      <c r="Y90" s="277">
        <v>1120</v>
      </c>
      <c r="Z90" s="277">
        <v>7529</v>
      </c>
      <c r="AA90" s="277">
        <v>2746</v>
      </c>
      <c r="AB90" s="277">
        <f t="shared" ref="AB90:AB91" si="27">Z90/AA90</f>
        <v>2.741806263656227</v>
      </c>
      <c r="AC90" s="277">
        <f t="shared" ref="AC90:AC91" si="28">AB90/$X$75</f>
        <v>0.87564017385535231</v>
      </c>
      <c r="AD90" s="277"/>
      <c r="AE90" s="277">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152" t="s">
        <v>5274</v>
      </c>
      <c r="Y91" s="152">
        <v>2000</v>
      </c>
      <c r="Z91" s="152">
        <v>8432</v>
      </c>
      <c r="AA91" s="152">
        <v>2902</v>
      </c>
      <c r="AB91" s="152">
        <f t="shared" si="27"/>
        <v>2.9055823569951755</v>
      </c>
      <c r="AC91" s="152">
        <f t="shared" si="28"/>
        <v>0.92794471803325862</v>
      </c>
      <c r="AD91" s="152"/>
      <c r="AE91" s="152">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20"/>
      <c r="Y92" s="20"/>
      <c r="Z92" s="20">
        <v>8548</v>
      </c>
      <c r="AA92" s="20">
        <v>300</v>
      </c>
      <c r="AB92" s="20">
        <f t="shared" ref="AB92" si="34">Z92/AA92</f>
        <v>28.493333333333332</v>
      </c>
      <c r="AC92" s="20">
        <f t="shared" ref="AC92" si="35">AB92/$X$75</f>
        <v>9.0998068260474199</v>
      </c>
      <c r="AD92" s="20"/>
      <c r="AE92" s="20"/>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c r="AA93" s="20"/>
      <c r="AB93" s="20"/>
      <c r="AC93" s="20"/>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6">L98+M98</f>
        <v>1012837407</v>
      </c>
      <c r="O98" s="113">
        <f t="shared" ref="O98:O109" si="37">M98-M97</f>
        <v>-3616335</v>
      </c>
      <c r="P98" s="113">
        <f t="shared" ref="P98:P109" si="38">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6"/>
        <v>1020095950</v>
      </c>
      <c r="O99" s="113">
        <f t="shared" si="37"/>
        <v>972544</v>
      </c>
      <c r="P99" s="113">
        <f t="shared" si="38"/>
        <v>7258543</v>
      </c>
      <c r="Q99" s="84">
        <v>0</v>
      </c>
      <c r="AA99" s="96"/>
      <c r="AB99" s="96">
        <f>AB92/AB91</f>
        <v>9.8064104996837447</v>
      </c>
      <c r="AC99" s="96" t="s">
        <v>25</v>
      </c>
      <c r="AD99" s="96" t="s">
        <v>25</v>
      </c>
    </row>
    <row r="100" spans="9:32">
      <c r="I100" s="213"/>
      <c r="J100" s="113">
        <f t="shared" si="29"/>
        <v>17278812</v>
      </c>
      <c r="K100" s="213" t="s">
        <v>4898</v>
      </c>
      <c r="L100" s="84">
        <v>721578846</v>
      </c>
      <c r="M100" s="84">
        <v>322263065</v>
      </c>
      <c r="N100" s="113">
        <f t="shared" si="36"/>
        <v>1043841911</v>
      </c>
      <c r="O100" s="113">
        <f t="shared" si="37"/>
        <v>6467149</v>
      </c>
      <c r="P100" s="113">
        <f t="shared" si="38"/>
        <v>23745961</v>
      </c>
      <c r="Q100" s="84">
        <v>0</v>
      </c>
      <c r="AA100" s="96"/>
      <c r="AB100" s="276">
        <f>AB87/AB91</f>
        <v>0.9237556185535134</v>
      </c>
      <c r="AC100" s="96"/>
      <c r="AD100" s="96" t="s">
        <v>25</v>
      </c>
    </row>
    <row r="101" spans="9:32">
      <c r="I101" s="213"/>
      <c r="J101" s="113">
        <f t="shared" si="29"/>
        <v>287745</v>
      </c>
      <c r="K101" s="213" t="s">
        <v>4899</v>
      </c>
      <c r="L101" s="84">
        <v>721866591</v>
      </c>
      <c r="M101" s="84">
        <v>321203407</v>
      </c>
      <c r="N101" s="113">
        <f t="shared" si="36"/>
        <v>1043069998</v>
      </c>
      <c r="O101" s="113">
        <f t="shared" si="37"/>
        <v>-1059658</v>
      </c>
      <c r="P101" s="113">
        <f t="shared" si="38"/>
        <v>-771913</v>
      </c>
      <c r="Q101" s="84">
        <v>0</v>
      </c>
      <c r="X101" s="96"/>
      <c r="Y101" s="96"/>
      <c r="Z101" s="96"/>
      <c r="AA101" s="96"/>
      <c r="AB101" s="96">
        <f>AB87/AB91</f>
        <v>0.9237556185535134</v>
      </c>
      <c r="AC101" s="96"/>
      <c r="AD101" s="96"/>
      <c r="AE101" t="s">
        <v>25</v>
      </c>
    </row>
    <row r="102" spans="9:32">
      <c r="I102" s="213"/>
      <c r="J102" s="113">
        <f t="shared" si="29"/>
        <v>-5866591</v>
      </c>
      <c r="K102" s="213" t="s">
        <v>4902</v>
      </c>
      <c r="L102" s="84">
        <v>716000000</v>
      </c>
      <c r="M102" s="84">
        <v>319000000</v>
      </c>
      <c r="N102" s="113">
        <f t="shared" si="36"/>
        <v>1035000000</v>
      </c>
      <c r="O102" s="113">
        <f t="shared" si="37"/>
        <v>-2203407</v>
      </c>
      <c r="P102" s="113">
        <f t="shared" si="38"/>
        <v>-8069998</v>
      </c>
      <c r="Q102" s="84">
        <v>0</v>
      </c>
      <c r="AB102" s="96">
        <f>AB91/AB92</f>
        <v>0.10197411173356957</v>
      </c>
      <c r="AC102" s="96"/>
      <c r="AD102" s="96" t="s">
        <v>25</v>
      </c>
      <c r="AE102" t="s">
        <v>25</v>
      </c>
    </row>
    <row r="103" spans="9:32">
      <c r="I103" s="213"/>
      <c r="J103" s="113">
        <f t="shared" si="29"/>
        <v>288384</v>
      </c>
      <c r="K103" s="213" t="s">
        <v>4901</v>
      </c>
      <c r="L103" s="84">
        <v>716288384</v>
      </c>
      <c r="M103" s="84">
        <v>320388494</v>
      </c>
      <c r="N103" s="113">
        <f t="shared" si="36"/>
        <v>1036676878</v>
      </c>
      <c r="O103" s="113">
        <f t="shared" si="37"/>
        <v>1388494</v>
      </c>
      <c r="P103" s="113">
        <f t="shared" si="38"/>
        <v>1676878</v>
      </c>
      <c r="Q103" s="84">
        <v>0</v>
      </c>
      <c r="AB103" s="96"/>
      <c r="AC103" s="96"/>
      <c r="AD103" s="96" t="s">
        <v>25</v>
      </c>
    </row>
    <row r="104" spans="9:32">
      <c r="I104" s="190" t="s">
        <v>4946</v>
      </c>
      <c r="J104" s="196">
        <f>L104-L103-1400000</f>
        <v>-1688384</v>
      </c>
      <c r="K104" s="190" t="s">
        <v>4943</v>
      </c>
      <c r="L104" s="241">
        <v>716000000</v>
      </c>
      <c r="M104" s="241">
        <v>322000000</v>
      </c>
      <c r="N104" s="196">
        <f t="shared" si="36"/>
        <v>1038000000</v>
      </c>
      <c r="O104" s="196">
        <f t="shared" si="37"/>
        <v>1611506</v>
      </c>
      <c r="P104" s="196">
        <f>N104-N103-1400000</f>
        <v>-76878</v>
      </c>
      <c r="Q104" s="84">
        <v>1400000</v>
      </c>
      <c r="AE104" t="s">
        <v>25</v>
      </c>
    </row>
    <row r="105" spans="9:32">
      <c r="I105" s="213"/>
      <c r="J105" s="113">
        <f t="shared" si="29"/>
        <v>8529471</v>
      </c>
      <c r="K105" s="213" t="s">
        <v>4945</v>
      </c>
      <c r="L105" s="84">
        <v>724529471</v>
      </c>
      <c r="M105" s="84">
        <v>326836192</v>
      </c>
      <c r="N105" s="113">
        <f t="shared" si="36"/>
        <v>1051365663</v>
      </c>
      <c r="O105" s="113">
        <f t="shared" si="37"/>
        <v>4836192</v>
      </c>
      <c r="P105" s="113">
        <f t="shared" si="38"/>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6"/>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6"/>
        <v>1086787304</v>
      </c>
      <c r="O107" s="113">
        <f t="shared" si="37"/>
        <v>3414475</v>
      </c>
      <c r="P107" s="113">
        <f t="shared" si="38"/>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6"/>
        <v>1102895014</v>
      </c>
      <c r="O108" s="188">
        <f t="shared" si="37"/>
        <v>6031883</v>
      </c>
      <c r="P108" s="188">
        <f>N108-N107-250000</f>
        <v>15857710</v>
      </c>
      <c r="Q108" s="84">
        <v>250000</v>
      </c>
    </row>
    <row r="109" spans="9:32">
      <c r="I109" s="213"/>
      <c r="J109" s="113">
        <f t="shared" si="29"/>
        <v>4204925</v>
      </c>
      <c r="K109" s="213" t="s">
        <v>4953</v>
      </c>
      <c r="L109" s="84">
        <v>764265377</v>
      </c>
      <c r="M109" s="84">
        <v>346850621</v>
      </c>
      <c r="N109" s="117">
        <f t="shared" si="36"/>
        <v>1111115998</v>
      </c>
      <c r="O109" s="113">
        <f t="shared" si="37"/>
        <v>4016059</v>
      </c>
      <c r="P109" s="113">
        <f t="shared" si="38"/>
        <v>8220984</v>
      </c>
      <c r="Q109" s="84">
        <v>0</v>
      </c>
    </row>
    <row r="110" spans="9:32" ht="30">
      <c r="I110" s="248" t="s">
        <v>4960</v>
      </c>
      <c r="J110" s="249">
        <f>L110-L109+48527480</f>
        <v>-4646184</v>
      </c>
      <c r="K110" s="216" t="s">
        <v>4957</v>
      </c>
      <c r="L110" s="250">
        <v>711091713</v>
      </c>
      <c r="M110" s="250">
        <v>365802118</v>
      </c>
      <c r="N110" s="249">
        <f t="shared" si="36"/>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9:32">
      <c r="I112" s="189" t="s">
        <v>4968</v>
      </c>
      <c r="J112" s="188">
        <f t="shared" si="29"/>
        <v>-11559770</v>
      </c>
      <c r="K112" s="189" t="s">
        <v>4963</v>
      </c>
      <c r="L112" s="239">
        <v>711658379</v>
      </c>
      <c r="M112" s="239">
        <v>375825031</v>
      </c>
      <c r="N112" s="188">
        <f t="shared" si="39"/>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9"/>
        <v>1039326313</v>
      </c>
      <c r="O113" s="113">
        <f t="shared" si="40"/>
        <v>-186429</v>
      </c>
      <c r="P113" s="113">
        <f t="shared" si="41"/>
        <v>-48157097</v>
      </c>
      <c r="Q113" s="84">
        <v>0</v>
      </c>
      <c r="S113" t="s">
        <v>25</v>
      </c>
    </row>
    <row r="114" spans="9:19">
      <c r="I114" s="213"/>
      <c r="J114" s="113">
        <f t="shared" si="29"/>
        <v>9507166</v>
      </c>
      <c r="K114" s="213" t="s">
        <v>4973</v>
      </c>
      <c r="L114" s="84">
        <v>673194877</v>
      </c>
      <c r="M114" s="84">
        <v>380477962</v>
      </c>
      <c r="N114" s="113">
        <f t="shared" si="39"/>
        <v>1053672839</v>
      </c>
      <c r="O114" s="113">
        <f t="shared" si="40"/>
        <v>4839360</v>
      </c>
      <c r="P114" s="113">
        <f t="shared" si="41"/>
        <v>14346526</v>
      </c>
      <c r="Q114" s="84">
        <v>0</v>
      </c>
    </row>
    <row r="115" spans="9:19">
      <c r="I115" s="213"/>
      <c r="J115" s="113">
        <f t="shared" si="29"/>
        <v>351502</v>
      </c>
      <c r="K115" s="213" t="s">
        <v>4974</v>
      </c>
      <c r="L115" s="84">
        <v>673546379</v>
      </c>
      <c r="M115" s="84">
        <v>385390359</v>
      </c>
      <c r="N115" s="113">
        <f t="shared" si="39"/>
        <v>1058936738</v>
      </c>
      <c r="O115" s="113">
        <f t="shared" si="40"/>
        <v>4912397</v>
      </c>
      <c r="P115" s="113">
        <f t="shared" si="41"/>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9"/>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9"/>
        <v>1069869513</v>
      </c>
      <c r="O118" s="113">
        <f t="shared" si="40"/>
        <v>7704452</v>
      </c>
      <c r="P118" s="113">
        <f t="shared" si="41"/>
        <v>15469513</v>
      </c>
      <c r="Q118" s="84">
        <v>0</v>
      </c>
    </row>
    <row r="119" spans="9:19">
      <c r="I119" s="213"/>
      <c r="J119" s="113">
        <f t="shared" si="29"/>
        <v>7834939</v>
      </c>
      <c r="K119" s="213" t="s">
        <v>4982</v>
      </c>
      <c r="L119" s="84">
        <v>685000000</v>
      </c>
      <c r="M119" s="84">
        <v>395000000</v>
      </c>
      <c r="N119" s="113">
        <f t="shared" si="39"/>
        <v>1080000000</v>
      </c>
      <c r="O119" s="113">
        <f t="shared" si="40"/>
        <v>2295548</v>
      </c>
      <c r="P119" s="113">
        <f t="shared" si="41"/>
        <v>10130487</v>
      </c>
      <c r="Q119" s="84">
        <v>0</v>
      </c>
    </row>
    <row r="120" spans="9:19">
      <c r="I120" s="189" t="s">
        <v>4986</v>
      </c>
      <c r="J120" s="188">
        <f>L120-L119-2100000</f>
        <v>2603523</v>
      </c>
      <c r="K120" s="189" t="s">
        <v>4984</v>
      </c>
      <c r="L120" s="239">
        <v>689703523</v>
      </c>
      <c r="M120" s="239">
        <v>399879880</v>
      </c>
      <c r="N120" s="188">
        <f t="shared" si="39"/>
        <v>1089583403</v>
      </c>
      <c r="O120" s="188">
        <f t="shared" si="40"/>
        <v>4879880</v>
      </c>
      <c r="P120" s="188">
        <f>N120-N119-2100000</f>
        <v>7483403</v>
      </c>
      <c r="Q120" s="84">
        <v>2100000</v>
      </c>
    </row>
    <row r="121" spans="9:19">
      <c r="I121" s="189" t="s">
        <v>4991</v>
      </c>
      <c r="J121" s="188">
        <f>L121-L120-100000</f>
        <v>1223636</v>
      </c>
      <c r="K121" s="189" t="s">
        <v>4989</v>
      </c>
      <c r="L121" s="239">
        <v>691027159</v>
      </c>
      <c r="M121" s="239">
        <v>401920713</v>
      </c>
      <c r="N121" s="188">
        <f t="shared" si="39"/>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9"/>
        <v>1088721066</v>
      </c>
      <c r="O122" s="113">
        <f t="shared" si="40"/>
        <v>-968588</v>
      </c>
      <c r="P122" s="113">
        <f t="shared" si="41"/>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2">L124+M124</f>
        <v>1117594183</v>
      </c>
      <c r="O124" s="188">
        <f t="shared" si="40"/>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2"/>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2"/>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2"/>
        <v>1129505400</v>
      </c>
      <c r="O128" s="113">
        <f t="shared" si="40"/>
        <v>1288244</v>
      </c>
      <c r="P128" s="113">
        <f t="shared" si="41"/>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2"/>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2"/>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2"/>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2"/>
        <v>1152428413</v>
      </c>
      <c r="O133" s="113">
        <f t="shared" si="40"/>
        <v>7171787</v>
      </c>
      <c r="P133" s="113">
        <f t="shared" si="41"/>
        <v>19795599</v>
      </c>
      <c r="Q133" s="229">
        <v>0</v>
      </c>
    </row>
    <row r="134" spans="9:19">
      <c r="I134" s="213"/>
      <c r="J134" s="113">
        <f t="shared" si="29"/>
        <v>21458282</v>
      </c>
      <c r="K134" s="213" t="s">
        <v>5055</v>
      </c>
      <c r="L134" s="84">
        <v>744280570</v>
      </c>
      <c r="M134" s="84">
        <v>440002399</v>
      </c>
      <c r="N134" s="117">
        <f t="shared" si="42"/>
        <v>1184282969</v>
      </c>
      <c r="O134" s="113">
        <f t="shared" si="40"/>
        <v>10396274</v>
      </c>
      <c r="P134" s="113">
        <f t="shared" si="41"/>
        <v>31854556</v>
      </c>
      <c r="Q134" s="229">
        <v>0</v>
      </c>
    </row>
    <row r="135" spans="9:19">
      <c r="I135" s="189" t="s">
        <v>5077</v>
      </c>
      <c r="J135" s="188">
        <f>L135-L134-1130250</f>
        <v>-410820</v>
      </c>
      <c r="K135" s="189" t="s">
        <v>5057</v>
      </c>
      <c r="L135" s="239">
        <v>745000000</v>
      </c>
      <c r="M135" s="239">
        <v>437000000</v>
      </c>
      <c r="N135" s="188">
        <f t="shared" si="42"/>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2"/>
        <v>1172384399</v>
      </c>
      <c r="O136" s="113">
        <f t="shared" si="40"/>
        <v>-3005263</v>
      </c>
      <c r="P136" s="113">
        <f t="shared" si="41"/>
        <v>-9615601</v>
      </c>
      <c r="Q136" s="229">
        <v>0</v>
      </c>
    </row>
    <row r="137" spans="9:19">
      <c r="I137" s="213"/>
      <c r="J137" s="113">
        <f t="shared" si="29"/>
        <v>-6184317</v>
      </c>
      <c r="K137" s="213" t="s">
        <v>5069</v>
      </c>
      <c r="L137" s="84">
        <v>732205345</v>
      </c>
      <c r="M137" s="84">
        <v>433540549</v>
      </c>
      <c r="N137" s="113">
        <f t="shared" si="42"/>
        <v>1165745894</v>
      </c>
      <c r="O137" s="113">
        <f t="shared" si="40"/>
        <v>-454188</v>
      </c>
      <c r="P137" s="113">
        <f t="shared" si="41"/>
        <v>-6638505</v>
      </c>
      <c r="Q137" s="229">
        <v>0</v>
      </c>
    </row>
    <row r="138" spans="9:19">
      <c r="I138" s="213"/>
      <c r="J138" s="113">
        <f t="shared" si="29"/>
        <v>4122409</v>
      </c>
      <c r="K138" s="213" t="s">
        <v>5073</v>
      </c>
      <c r="L138" s="84">
        <v>736327754</v>
      </c>
      <c r="M138" s="84">
        <v>439057094</v>
      </c>
      <c r="N138" s="113">
        <f t="shared" si="42"/>
        <v>1175384848</v>
      </c>
      <c r="O138" s="113">
        <f t="shared" si="40"/>
        <v>5516545</v>
      </c>
      <c r="P138" s="113">
        <f t="shared" si="41"/>
        <v>9638954</v>
      </c>
      <c r="Q138" s="229">
        <v>0</v>
      </c>
    </row>
    <row r="139" spans="9:19">
      <c r="I139" s="189" t="s">
        <v>5076</v>
      </c>
      <c r="J139" s="188">
        <f>L139-L138-206000</f>
        <v>15013287</v>
      </c>
      <c r="K139" s="189" t="s">
        <v>5075</v>
      </c>
      <c r="L139" s="239">
        <v>751547041</v>
      </c>
      <c r="M139" s="239">
        <v>448656068</v>
      </c>
      <c r="N139" s="188">
        <f t="shared" si="42"/>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2"/>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2"/>
        <v>1258499262</v>
      </c>
      <c r="O141" s="113">
        <f t="shared" si="40"/>
        <v>9638295</v>
      </c>
      <c r="P141" s="113">
        <f t="shared" si="41"/>
        <v>23253284</v>
      </c>
      <c r="Q141" s="229">
        <v>0</v>
      </c>
    </row>
    <row r="142" spans="9:19">
      <c r="I142" s="189" t="s">
        <v>5090</v>
      </c>
      <c r="J142" s="188">
        <f>L142-L141-105000</f>
        <v>7274368</v>
      </c>
      <c r="K142" s="189" t="s">
        <v>5087</v>
      </c>
      <c r="L142" s="239">
        <v>795444137</v>
      </c>
      <c r="M142" s="239">
        <v>496046411</v>
      </c>
      <c r="N142" s="188">
        <f t="shared" si="42"/>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2"/>
        <v>1296822929</v>
      </c>
      <c r="O143" s="266">
        <f t="shared" si="40"/>
        <v>8675284</v>
      </c>
      <c r="P143" s="266">
        <f>N143-N142+21285588</f>
        <v>26617969</v>
      </c>
      <c r="Q143" s="229">
        <v>-21285588</v>
      </c>
    </row>
    <row r="144" spans="9:19">
      <c r="I144" s="265" t="s">
        <v>5098</v>
      </c>
      <c r="J144" s="266">
        <f>L144-L143+5949277</f>
        <v>6616903</v>
      </c>
      <c r="K144" s="265" t="s">
        <v>5093</v>
      </c>
      <c r="L144" s="267">
        <v>792768860</v>
      </c>
      <c r="M144" s="267">
        <v>507955566</v>
      </c>
      <c r="N144" s="249">
        <f t="shared" si="42"/>
        <v>1300724426</v>
      </c>
      <c r="O144" s="266">
        <f t="shared" si="40"/>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2"/>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3">L146+M146</f>
        <v>1228211816</v>
      </c>
      <c r="O146" s="220">
        <f>M146-M145-50000</f>
        <v>-6015916</v>
      </c>
      <c r="P146" s="220">
        <f>N146-N145-50000+15482124</f>
        <v>-12677942</v>
      </c>
      <c r="Q146" s="229">
        <f>50000-15482124</f>
        <v>-15432124</v>
      </c>
    </row>
    <row r="147" spans="9:23">
      <c r="I147" s="213"/>
      <c r="J147" s="113">
        <f t="shared" ref="J147:J206" si="44">L147-L146</f>
        <v>-5020195</v>
      </c>
      <c r="K147" s="213" t="s">
        <v>5103</v>
      </c>
      <c r="L147" s="84">
        <v>745914237</v>
      </c>
      <c r="M147" s="84">
        <v>473862216</v>
      </c>
      <c r="N147" s="113">
        <f t="shared" si="43"/>
        <v>1219776453</v>
      </c>
      <c r="O147" s="113">
        <f t="shared" ref="O147:O158" si="45">M147-M146</f>
        <v>-3415168</v>
      </c>
      <c r="P147" s="113">
        <f t="shared" ref="P147:P158" si="46">N147-N146</f>
        <v>-8435363</v>
      </c>
      <c r="Q147" s="229">
        <v>0</v>
      </c>
    </row>
    <row r="148" spans="9:23">
      <c r="I148" s="213"/>
      <c r="J148" s="113">
        <f t="shared" si="44"/>
        <v>-2990159</v>
      </c>
      <c r="K148" s="213" t="s">
        <v>5104</v>
      </c>
      <c r="L148" s="84">
        <v>742924078</v>
      </c>
      <c r="M148" s="84">
        <v>472064753</v>
      </c>
      <c r="N148" s="113">
        <f t="shared" si="43"/>
        <v>1214988831</v>
      </c>
      <c r="O148" s="113">
        <f t="shared" si="45"/>
        <v>-1797463</v>
      </c>
      <c r="P148" s="113">
        <f t="shared" si="46"/>
        <v>-4787622</v>
      </c>
      <c r="Q148" s="229">
        <v>0</v>
      </c>
      <c r="T148" t="s">
        <v>25</v>
      </c>
    </row>
    <row r="149" spans="9:23">
      <c r="I149" s="213"/>
      <c r="J149" s="113">
        <f t="shared" si="44"/>
        <v>-2104826</v>
      </c>
      <c r="K149" s="213" t="s">
        <v>5105</v>
      </c>
      <c r="L149" s="84">
        <v>740819252</v>
      </c>
      <c r="M149" s="84">
        <v>470305993</v>
      </c>
      <c r="N149" s="113">
        <f t="shared" si="43"/>
        <v>1211125245</v>
      </c>
      <c r="O149" s="113">
        <f t="shared" si="45"/>
        <v>-1758760</v>
      </c>
      <c r="P149" s="113">
        <f t="shared" si="46"/>
        <v>-3863586</v>
      </c>
      <c r="Q149" s="229">
        <v>0</v>
      </c>
      <c r="V149" t="s">
        <v>25</v>
      </c>
    </row>
    <row r="150" spans="9:23">
      <c r="I150" s="189" t="s">
        <v>5108</v>
      </c>
      <c r="J150" s="188">
        <f t="shared" si="44"/>
        <v>19640187</v>
      </c>
      <c r="K150" s="189" t="s">
        <v>5107</v>
      </c>
      <c r="L150" s="239">
        <v>760459439</v>
      </c>
      <c r="M150" s="239">
        <v>480341526</v>
      </c>
      <c r="N150" s="188">
        <f t="shared" si="43"/>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3"/>
        <v>1264518921</v>
      </c>
      <c r="O151" s="113">
        <f t="shared" si="45"/>
        <v>6670415</v>
      </c>
      <c r="P151" s="113">
        <f>N151-N150-10000000</f>
        <v>13717956</v>
      </c>
      <c r="Q151" s="229">
        <v>10000000</v>
      </c>
    </row>
    <row r="152" spans="9:23">
      <c r="I152" s="213"/>
      <c r="J152" s="113">
        <f t="shared" si="44"/>
        <v>12326187</v>
      </c>
      <c r="K152" s="213" t="s">
        <v>5114</v>
      </c>
      <c r="L152" s="84">
        <v>789833167</v>
      </c>
      <c r="M152" s="84">
        <v>496662271</v>
      </c>
      <c r="N152" s="117">
        <f t="shared" si="43"/>
        <v>1286495438</v>
      </c>
      <c r="O152" s="113">
        <f t="shared" si="45"/>
        <v>9650330</v>
      </c>
      <c r="P152" s="113">
        <f t="shared" si="46"/>
        <v>21976517</v>
      </c>
      <c r="Q152" s="229">
        <v>0</v>
      </c>
    </row>
    <row r="153" spans="9:23">
      <c r="I153" s="213"/>
      <c r="J153" s="113">
        <f t="shared" si="44"/>
        <v>-15331439</v>
      </c>
      <c r="K153" s="213" t="s">
        <v>5117</v>
      </c>
      <c r="L153" s="84">
        <v>774501728</v>
      </c>
      <c r="M153" s="84">
        <v>489029442</v>
      </c>
      <c r="N153" s="113">
        <f t="shared" si="43"/>
        <v>1263531170</v>
      </c>
      <c r="O153" s="113">
        <f t="shared" si="45"/>
        <v>-7632829</v>
      </c>
      <c r="P153" s="113">
        <f t="shared" si="46"/>
        <v>-22964268</v>
      </c>
      <c r="Q153" s="229">
        <v>0</v>
      </c>
    </row>
    <row r="154" spans="9:23">
      <c r="I154" s="213"/>
      <c r="J154" s="113">
        <f t="shared" si="44"/>
        <v>-32356446</v>
      </c>
      <c r="K154" s="213" t="s">
        <v>5121</v>
      </c>
      <c r="L154" s="84">
        <v>742145282</v>
      </c>
      <c r="M154" s="84">
        <v>468861007</v>
      </c>
      <c r="N154" s="113">
        <f t="shared" si="43"/>
        <v>1211006289</v>
      </c>
      <c r="O154" s="113">
        <f t="shared" si="45"/>
        <v>-20168435</v>
      </c>
      <c r="P154" s="113">
        <f t="shared" si="46"/>
        <v>-52524881</v>
      </c>
      <c r="Q154" s="229">
        <v>0</v>
      </c>
      <c r="S154" s="114"/>
    </row>
    <row r="155" spans="9:23">
      <c r="I155" s="213"/>
      <c r="J155" s="113">
        <f t="shared" si="44"/>
        <v>27087716</v>
      </c>
      <c r="K155" s="213" t="s">
        <v>5115</v>
      </c>
      <c r="L155" s="84">
        <v>769232998</v>
      </c>
      <c r="M155" s="84">
        <v>486200144</v>
      </c>
      <c r="N155" s="113">
        <f t="shared" si="43"/>
        <v>1255433142</v>
      </c>
      <c r="O155" s="113">
        <f t="shared" si="45"/>
        <v>17339137</v>
      </c>
      <c r="P155" s="113">
        <f t="shared" si="46"/>
        <v>44426853</v>
      </c>
      <c r="Q155" s="229">
        <v>0</v>
      </c>
    </row>
    <row r="156" spans="9:23">
      <c r="I156" s="213"/>
      <c r="J156" s="113">
        <f t="shared" si="44"/>
        <v>-11588296</v>
      </c>
      <c r="K156" s="213" t="s">
        <v>5125</v>
      </c>
      <c r="L156" s="84">
        <v>757644702</v>
      </c>
      <c r="M156" s="84">
        <v>479518419</v>
      </c>
      <c r="N156" s="113">
        <f t="shared" si="43"/>
        <v>1237163121</v>
      </c>
      <c r="O156" s="113">
        <f t="shared" si="45"/>
        <v>-6681725</v>
      </c>
      <c r="P156" s="113">
        <f t="shared" si="46"/>
        <v>-18270021</v>
      </c>
      <c r="Q156" s="229">
        <v>0</v>
      </c>
    </row>
    <row r="157" spans="9:23">
      <c r="I157" s="213"/>
      <c r="J157" s="113">
        <f t="shared" si="44"/>
        <v>44081635</v>
      </c>
      <c r="K157" s="213" t="s">
        <v>4235</v>
      </c>
      <c r="L157" s="84">
        <v>801726337</v>
      </c>
      <c r="M157" s="84">
        <v>506850552</v>
      </c>
      <c r="N157" s="117">
        <f t="shared" si="43"/>
        <v>1308576889</v>
      </c>
      <c r="O157" s="113">
        <f t="shared" si="45"/>
        <v>27332133</v>
      </c>
      <c r="P157" s="113">
        <f t="shared" si="46"/>
        <v>71413768</v>
      </c>
      <c r="Q157" s="229">
        <v>0</v>
      </c>
      <c r="W157" t="s">
        <v>25</v>
      </c>
    </row>
    <row r="158" spans="9:23">
      <c r="I158" s="213"/>
      <c r="J158" s="113">
        <f t="shared" si="44"/>
        <v>6630946</v>
      </c>
      <c r="K158" s="213" t="s">
        <v>5126</v>
      </c>
      <c r="L158" s="84">
        <v>808357283</v>
      </c>
      <c r="M158" s="84">
        <v>511928213</v>
      </c>
      <c r="N158" s="117">
        <f t="shared" si="43"/>
        <v>1320285496</v>
      </c>
      <c r="O158" s="113">
        <f t="shared" si="45"/>
        <v>5077661</v>
      </c>
      <c r="P158" s="113">
        <f t="shared" si="46"/>
        <v>11708607</v>
      </c>
      <c r="Q158" s="229">
        <v>0</v>
      </c>
    </row>
    <row r="159" spans="9:23">
      <c r="I159" s="213"/>
      <c r="J159" s="113">
        <f t="shared" si="44"/>
        <v>-3113999</v>
      </c>
      <c r="K159" s="213" t="s">
        <v>5116</v>
      </c>
      <c r="L159" s="84">
        <v>805243284</v>
      </c>
      <c r="M159" s="84">
        <v>510366011</v>
      </c>
      <c r="N159" s="113">
        <f t="shared" si="43"/>
        <v>1315609295</v>
      </c>
      <c r="O159" s="113">
        <f t="shared" ref="O159:O206" si="47">M159-M158</f>
        <v>-1562202</v>
      </c>
      <c r="P159" s="113">
        <f t="shared" ref="P159:P206" si="48">N159-N158</f>
        <v>-4676201</v>
      </c>
      <c r="Q159" s="229">
        <v>0</v>
      </c>
    </row>
    <row r="160" spans="9:23">
      <c r="I160" s="271" t="s">
        <v>5140</v>
      </c>
      <c r="J160" s="188">
        <f>L160-L159-1000000</f>
        <v>-11757327</v>
      </c>
      <c r="K160" s="189" t="s">
        <v>5139</v>
      </c>
      <c r="L160" s="239">
        <v>794485957</v>
      </c>
      <c r="M160" s="239">
        <v>500307505</v>
      </c>
      <c r="N160" s="188">
        <f t="shared" si="43"/>
        <v>1294793462</v>
      </c>
      <c r="O160" s="188">
        <f>M160-M159-400000</f>
        <v>-10458506</v>
      </c>
      <c r="P160" s="188">
        <f>N160-N159-1400000</f>
        <v>-22215833</v>
      </c>
      <c r="Q160" s="229">
        <v>1400000</v>
      </c>
    </row>
    <row r="161" spans="9:18">
      <c r="I161" s="213"/>
      <c r="J161" s="113">
        <f t="shared" si="44"/>
        <v>15301801</v>
      </c>
      <c r="K161" s="213" t="s">
        <v>5141</v>
      </c>
      <c r="L161" s="84">
        <v>809787758</v>
      </c>
      <c r="M161" s="84">
        <v>508573621</v>
      </c>
      <c r="N161" s="113">
        <f t="shared" si="43"/>
        <v>1318361379</v>
      </c>
      <c r="O161" s="113">
        <f t="shared" si="47"/>
        <v>8266116</v>
      </c>
      <c r="P161" s="113">
        <f t="shared" si="48"/>
        <v>23567917</v>
      </c>
    </row>
    <row r="162" spans="9:18">
      <c r="I162" s="251" t="s">
        <v>5143</v>
      </c>
      <c r="J162" s="252">
        <f>L162-L161-40000</f>
        <v>22492792</v>
      </c>
      <c r="K162" s="251" t="s">
        <v>5142</v>
      </c>
      <c r="L162" s="253">
        <v>832320550</v>
      </c>
      <c r="M162" s="253">
        <v>520218492</v>
      </c>
      <c r="N162" s="252">
        <f t="shared" si="43"/>
        <v>1352539042</v>
      </c>
      <c r="O162" s="252">
        <f>M162-M161-40000</f>
        <v>11604871</v>
      </c>
      <c r="P162" s="252">
        <f>N162-N161-80000</f>
        <v>34097663</v>
      </c>
      <c r="Q162" s="229">
        <v>80000</v>
      </c>
    </row>
    <row r="163" spans="9:18">
      <c r="I163" s="213"/>
      <c r="J163" s="113">
        <f t="shared" si="44"/>
        <v>17160356</v>
      </c>
      <c r="K163" s="213" t="s">
        <v>5145</v>
      </c>
      <c r="L163" s="84">
        <v>849480906</v>
      </c>
      <c r="M163" s="84">
        <v>529879172</v>
      </c>
      <c r="N163" s="117">
        <f t="shared" si="43"/>
        <v>1379360078</v>
      </c>
      <c r="O163" s="113">
        <f t="shared" si="47"/>
        <v>9660680</v>
      </c>
      <c r="P163" s="113">
        <f t="shared" si="48"/>
        <v>26821036</v>
      </c>
      <c r="Q163" s="229">
        <v>0</v>
      </c>
    </row>
    <row r="164" spans="9:18">
      <c r="I164" s="213"/>
      <c r="J164" s="113">
        <f t="shared" si="44"/>
        <v>-9629608</v>
      </c>
      <c r="K164" s="213" t="s">
        <v>5152</v>
      </c>
      <c r="L164" s="84">
        <v>839851298</v>
      </c>
      <c r="M164" s="84">
        <v>524867809</v>
      </c>
      <c r="N164" s="113">
        <f t="shared" si="43"/>
        <v>1364719107</v>
      </c>
      <c r="O164" s="113">
        <f t="shared" si="47"/>
        <v>-5011363</v>
      </c>
      <c r="P164" s="113">
        <f t="shared" si="48"/>
        <v>-14640971</v>
      </c>
      <c r="Q164" s="229">
        <v>0</v>
      </c>
    </row>
    <row r="165" spans="9:18">
      <c r="I165" s="251" t="s">
        <v>5156</v>
      </c>
      <c r="J165" s="252">
        <f>L165-L164-120000</f>
        <v>-2216696</v>
      </c>
      <c r="K165" s="251" t="s">
        <v>5154</v>
      </c>
      <c r="L165" s="253">
        <v>837754602</v>
      </c>
      <c r="M165" s="253">
        <v>524141818</v>
      </c>
      <c r="N165" s="252">
        <f t="shared" si="43"/>
        <v>1361896420</v>
      </c>
      <c r="O165" s="252">
        <f>M165-M164-200000</f>
        <v>-925991</v>
      </c>
      <c r="P165" s="252">
        <f>N165-N164-320000</f>
        <v>-3142687</v>
      </c>
      <c r="Q165" s="229">
        <v>320000</v>
      </c>
    </row>
    <row r="166" spans="9:18">
      <c r="I166" s="251" t="s">
        <v>5046</v>
      </c>
      <c r="J166" s="252">
        <f t="shared" si="44"/>
        <v>-5830761</v>
      </c>
      <c r="K166" s="251" t="s">
        <v>5159</v>
      </c>
      <c r="L166" s="253">
        <v>831923841</v>
      </c>
      <c r="M166" s="253">
        <v>520741895</v>
      </c>
      <c r="N166" s="252">
        <f t="shared" si="43"/>
        <v>1352665736</v>
      </c>
      <c r="O166" s="252">
        <f>M166-M165-500000</f>
        <v>-3899923</v>
      </c>
      <c r="P166" s="252">
        <f>N166-N165-500000</f>
        <v>-9730684</v>
      </c>
      <c r="Q166" s="229">
        <v>500000</v>
      </c>
    </row>
    <row r="167" spans="9:18">
      <c r="I167" s="251" t="s">
        <v>5046</v>
      </c>
      <c r="J167" s="252">
        <f t="shared" si="44"/>
        <v>-22467551</v>
      </c>
      <c r="K167" s="251" t="s">
        <v>5162</v>
      </c>
      <c r="L167" s="253">
        <v>809456290</v>
      </c>
      <c r="M167" s="253">
        <v>509313372</v>
      </c>
      <c r="N167" s="252">
        <f t="shared" si="43"/>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3"/>
        <v>1295288647</v>
      </c>
      <c r="O168" s="252">
        <f>M168-M167-250000</f>
        <v>-8391277</v>
      </c>
      <c r="P168" s="252">
        <f>N168-N167-499000</f>
        <v>-23980015</v>
      </c>
      <c r="Q168" s="229">
        <v>499000</v>
      </c>
    </row>
    <row r="169" spans="9:18">
      <c r="I169" s="213"/>
      <c r="J169" s="113">
        <f t="shared" si="44"/>
        <v>11269240</v>
      </c>
      <c r="K169" s="213" t="s">
        <v>5164</v>
      </c>
      <c r="L169" s="84">
        <v>805385792</v>
      </c>
      <c r="M169" s="84">
        <v>507195022</v>
      </c>
      <c r="N169" s="113">
        <f t="shared" si="43"/>
        <v>1312580814</v>
      </c>
      <c r="O169" s="113">
        <f t="shared" si="47"/>
        <v>6022927</v>
      </c>
      <c r="P169" s="113">
        <f t="shared" si="48"/>
        <v>17292167</v>
      </c>
      <c r="Q169" s="229">
        <v>0</v>
      </c>
    </row>
    <row r="170" spans="9:18">
      <c r="I170" s="213"/>
      <c r="J170" s="113">
        <f t="shared" si="44"/>
        <v>-18119284</v>
      </c>
      <c r="K170" s="213" t="s">
        <v>5167</v>
      </c>
      <c r="L170" s="84">
        <v>787266508</v>
      </c>
      <c r="M170" s="84">
        <v>498492039</v>
      </c>
      <c r="N170" s="113">
        <f t="shared" si="43"/>
        <v>1285758547</v>
      </c>
      <c r="O170" s="113">
        <f t="shared" si="47"/>
        <v>-8702983</v>
      </c>
      <c r="P170" s="113">
        <f t="shared" si="48"/>
        <v>-26822267</v>
      </c>
      <c r="Q170" s="229">
        <v>0</v>
      </c>
    </row>
    <row r="171" spans="9:18">
      <c r="I171" s="213"/>
      <c r="J171" s="113">
        <f t="shared" si="44"/>
        <v>19151757</v>
      </c>
      <c r="K171" s="213" t="s">
        <v>3852</v>
      </c>
      <c r="L171" s="84">
        <v>806418265</v>
      </c>
      <c r="M171" s="84">
        <v>508251365</v>
      </c>
      <c r="N171" s="113">
        <f t="shared" si="43"/>
        <v>1314669630</v>
      </c>
      <c r="O171" s="113">
        <f t="shared" si="47"/>
        <v>9759326</v>
      </c>
      <c r="P171" s="113">
        <f t="shared" si="48"/>
        <v>28911083</v>
      </c>
      <c r="Q171" s="229">
        <v>0</v>
      </c>
    </row>
    <row r="172" spans="9:18">
      <c r="I172" s="213"/>
      <c r="J172" s="113">
        <f t="shared" si="44"/>
        <v>-130356</v>
      </c>
      <c r="K172" s="213" t="s">
        <v>5175</v>
      </c>
      <c r="L172" s="84">
        <v>806287909</v>
      </c>
      <c r="M172" s="255">
        <v>508728805</v>
      </c>
      <c r="N172" s="113">
        <f t="shared" si="43"/>
        <v>1315016714</v>
      </c>
      <c r="O172" s="113">
        <f t="shared" si="47"/>
        <v>477440</v>
      </c>
      <c r="P172" s="113">
        <f t="shared" si="48"/>
        <v>347084</v>
      </c>
      <c r="Q172" s="229">
        <v>0</v>
      </c>
    </row>
    <row r="173" spans="9:18">
      <c r="I173" s="213"/>
      <c r="J173" s="113">
        <f t="shared" si="44"/>
        <v>-4205755</v>
      </c>
      <c r="K173" s="213" t="s">
        <v>5176</v>
      </c>
      <c r="L173" s="84">
        <v>802082154</v>
      </c>
      <c r="M173" s="84">
        <v>508611485</v>
      </c>
      <c r="N173" s="113">
        <f t="shared" si="43"/>
        <v>1310693639</v>
      </c>
      <c r="O173" s="113">
        <f t="shared" si="47"/>
        <v>-117320</v>
      </c>
      <c r="P173" s="113">
        <f t="shared" si="48"/>
        <v>-4323075</v>
      </c>
      <c r="Q173" s="229">
        <v>0</v>
      </c>
      <c r="R173" t="s">
        <v>25</v>
      </c>
    </row>
    <row r="174" spans="9:18">
      <c r="I174" s="251" t="s">
        <v>5179</v>
      </c>
      <c r="J174" s="252">
        <f>L174-L173-65000</f>
        <v>5888390</v>
      </c>
      <c r="K174" s="251" t="s">
        <v>5178</v>
      </c>
      <c r="L174" s="253">
        <v>808035544</v>
      </c>
      <c r="M174" s="253">
        <v>512177913</v>
      </c>
      <c r="N174" s="252">
        <f t="shared" si="43"/>
        <v>1320213457</v>
      </c>
      <c r="O174" s="252">
        <f t="shared" si="47"/>
        <v>3566428</v>
      </c>
      <c r="P174" s="252">
        <f>N174-N173-65000</f>
        <v>9454818</v>
      </c>
      <c r="Q174" s="229">
        <v>65000</v>
      </c>
    </row>
    <row r="175" spans="9:18">
      <c r="I175" s="213"/>
      <c r="J175" s="113">
        <f t="shared" si="44"/>
        <v>347325</v>
      </c>
      <c r="K175" s="213" t="s">
        <v>4236</v>
      </c>
      <c r="L175" s="84">
        <v>808382869</v>
      </c>
      <c r="M175" s="84">
        <v>512740969</v>
      </c>
      <c r="N175" s="113">
        <f t="shared" si="43"/>
        <v>1321123838</v>
      </c>
      <c r="O175" s="113">
        <f t="shared" si="47"/>
        <v>563056</v>
      </c>
      <c r="P175" s="113">
        <f t="shared" si="48"/>
        <v>910381</v>
      </c>
      <c r="Q175" s="229">
        <v>0</v>
      </c>
    </row>
    <row r="176" spans="9:18">
      <c r="I176" s="216" t="s">
        <v>5188</v>
      </c>
      <c r="J176" s="249">
        <f>L176-L175+305807</f>
        <v>8668560</v>
      </c>
      <c r="K176" s="216" t="s">
        <v>5185</v>
      </c>
      <c r="L176" s="250">
        <v>816745622</v>
      </c>
      <c r="M176" s="250">
        <v>516127148</v>
      </c>
      <c r="N176" s="249">
        <f t="shared" si="43"/>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3"/>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3"/>
        <v>1373624234</v>
      </c>
      <c r="O178" s="274">
        <f>M178-M177+1330520</f>
        <v>16683969</v>
      </c>
      <c r="P178" s="274">
        <f t="shared" si="48"/>
        <v>46160635</v>
      </c>
      <c r="Q178" s="229">
        <v>1280520</v>
      </c>
    </row>
    <row r="179" spans="9:17">
      <c r="I179" s="213"/>
      <c r="J179" s="113">
        <f t="shared" si="44"/>
        <v>3566567</v>
      </c>
      <c r="K179" s="213" t="s">
        <v>5148</v>
      </c>
      <c r="L179" s="84">
        <v>855893703</v>
      </c>
      <c r="M179" s="84">
        <v>523555571</v>
      </c>
      <c r="N179" s="117">
        <f t="shared" si="43"/>
        <v>1379449274</v>
      </c>
      <c r="O179" s="113">
        <f t="shared" si="47"/>
        <v>2258473</v>
      </c>
      <c r="P179" s="113">
        <f t="shared" si="48"/>
        <v>5825040</v>
      </c>
      <c r="Q179" s="229">
        <v>0</v>
      </c>
    </row>
    <row r="180" spans="9:17">
      <c r="I180" s="213"/>
      <c r="J180" s="113">
        <f t="shared" si="44"/>
        <v>38722880</v>
      </c>
      <c r="K180" s="213" t="s">
        <v>5199</v>
      </c>
      <c r="L180" s="84">
        <v>894616583</v>
      </c>
      <c r="M180" s="84">
        <v>542439358</v>
      </c>
      <c r="N180" s="117">
        <f t="shared" si="43"/>
        <v>1437055941</v>
      </c>
      <c r="O180" s="113">
        <f t="shared" si="47"/>
        <v>18883787</v>
      </c>
      <c r="P180" s="113">
        <f t="shared" si="48"/>
        <v>57606667</v>
      </c>
      <c r="Q180" s="229">
        <v>0</v>
      </c>
    </row>
    <row r="181" spans="9:17">
      <c r="I181" s="213"/>
      <c r="J181" s="113">
        <f t="shared" si="44"/>
        <v>16136832</v>
      </c>
      <c r="K181" s="213" t="s">
        <v>5203</v>
      </c>
      <c r="L181" s="84">
        <v>910753415</v>
      </c>
      <c r="M181" s="84">
        <v>556456529</v>
      </c>
      <c r="N181" s="117">
        <f>L181+M181</f>
        <v>1467209944</v>
      </c>
      <c r="O181" s="113">
        <f t="shared" si="47"/>
        <v>14017171</v>
      </c>
      <c r="P181" s="113">
        <f t="shared" si="48"/>
        <v>30154003</v>
      </c>
      <c r="Q181" s="229">
        <v>0</v>
      </c>
    </row>
    <row r="182" spans="9:17">
      <c r="I182" s="213"/>
      <c r="J182" s="113">
        <f t="shared" si="44"/>
        <v>12506133</v>
      </c>
      <c r="K182" s="213" t="s">
        <v>5206</v>
      </c>
      <c r="L182" s="84">
        <v>923259548</v>
      </c>
      <c r="M182" s="84">
        <v>567570020</v>
      </c>
      <c r="N182" s="117">
        <f t="shared" si="43"/>
        <v>1490829568</v>
      </c>
      <c r="O182" s="113">
        <f t="shared" si="47"/>
        <v>11113491</v>
      </c>
      <c r="P182" s="113">
        <f t="shared" si="48"/>
        <v>23619624</v>
      </c>
      <c r="Q182" s="229">
        <v>0</v>
      </c>
    </row>
    <row r="183" spans="9:17">
      <c r="I183" s="213"/>
      <c r="J183" s="113">
        <f t="shared" si="44"/>
        <v>-6894672</v>
      </c>
      <c r="K183" s="213" t="s">
        <v>5211</v>
      </c>
      <c r="L183" s="84">
        <v>916364876</v>
      </c>
      <c r="M183" s="84">
        <v>564106459</v>
      </c>
      <c r="N183" s="113">
        <f t="shared" si="43"/>
        <v>1480471335</v>
      </c>
      <c r="O183" s="113">
        <f t="shared" si="47"/>
        <v>-3463561</v>
      </c>
      <c r="P183" s="113">
        <f t="shared" si="48"/>
        <v>-10358233</v>
      </c>
      <c r="Q183" s="229">
        <v>0</v>
      </c>
    </row>
    <row r="184" spans="9:17">
      <c r="I184" s="213"/>
      <c r="J184" s="113">
        <f t="shared" si="44"/>
        <v>-11657822</v>
      </c>
      <c r="K184" s="213" t="s">
        <v>5213</v>
      </c>
      <c r="L184" s="84">
        <v>904707054</v>
      </c>
      <c r="M184" s="84">
        <v>557394961</v>
      </c>
      <c r="N184" s="113">
        <f t="shared" si="43"/>
        <v>1462102015</v>
      </c>
      <c r="O184" s="113">
        <f t="shared" si="47"/>
        <v>-6711498</v>
      </c>
      <c r="P184" s="113">
        <f t="shared" si="48"/>
        <v>-18369320</v>
      </c>
      <c r="Q184" s="229">
        <v>0</v>
      </c>
    </row>
    <row r="185" spans="9:17">
      <c r="I185" s="189" t="s">
        <v>5219</v>
      </c>
      <c r="J185" s="188">
        <f>L185-L184-200000</f>
        <v>15983884</v>
      </c>
      <c r="K185" s="189" t="s">
        <v>5215</v>
      </c>
      <c r="L185" s="239">
        <v>920890938</v>
      </c>
      <c r="M185" s="239">
        <v>566042468</v>
      </c>
      <c r="N185" s="188">
        <f t="shared" si="43"/>
        <v>1486933406</v>
      </c>
      <c r="O185" s="188">
        <f t="shared" si="47"/>
        <v>8647507</v>
      </c>
      <c r="P185" s="188">
        <f>N185-N184-200000</f>
        <v>24631391</v>
      </c>
      <c r="Q185" s="229">
        <v>200000</v>
      </c>
    </row>
    <row r="186" spans="9:17">
      <c r="I186" s="189" t="s">
        <v>5227</v>
      </c>
      <c r="J186" s="188">
        <f>L186-L185-30000</f>
        <v>1392982</v>
      </c>
      <c r="K186" s="189" t="s">
        <v>5220</v>
      </c>
      <c r="L186" s="239">
        <v>922313920</v>
      </c>
      <c r="M186" s="239">
        <v>567221668</v>
      </c>
      <c r="N186" s="188">
        <f t="shared" si="43"/>
        <v>1489535588</v>
      </c>
      <c r="O186" s="188">
        <f t="shared" si="47"/>
        <v>1179200</v>
      </c>
      <c r="P186" s="188">
        <f>N186-N185-30000</f>
        <v>2572182</v>
      </c>
      <c r="Q186" s="229">
        <v>30000</v>
      </c>
    </row>
    <row r="187" spans="9:17">
      <c r="I187" s="213" t="s">
        <v>5232</v>
      </c>
      <c r="J187" s="113">
        <f t="shared" si="44"/>
        <v>-1865454</v>
      </c>
      <c r="K187" s="213" t="s">
        <v>5231</v>
      </c>
      <c r="L187" s="84">
        <v>920448466</v>
      </c>
      <c r="M187" s="84">
        <v>581598140</v>
      </c>
      <c r="N187" s="113">
        <f t="shared" si="43"/>
        <v>1502046606</v>
      </c>
      <c r="O187" s="113">
        <f>M187-M186-14340000</f>
        <v>36472</v>
      </c>
      <c r="P187" s="113">
        <f>N187-N186-14340000</f>
        <v>-1828982</v>
      </c>
      <c r="Q187" s="229">
        <v>14340000</v>
      </c>
    </row>
    <row r="188" spans="9:17">
      <c r="I188" s="213"/>
      <c r="J188" s="113">
        <f t="shared" si="44"/>
        <v>12522279</v>
      </c>
      <c r="K188" s="213" t="s">
        <v>5233</v>
      </c>
      <c r="L188" s="84">
        <v>932970745</v>
      </c>
      <c r="M188" s="84">
        <v>587671418</v>
      </c>
      <c r="N188" s="117">
        <f t="shared" si="43"/>
        <v>1520642163</v>
      </c>
      <c r="O188" s="113">
        <f t="shared" si="47"/>
        <v>6073278</v>
      </c>
      <c r="P188" s="113">
        <f t="shared" si="48"/>
        <v>18595557</v>
      </c>
      <c r="Q188" s="229">
        <v>0</v>
      </c>
    </row>
    <row r="189" spans="9:17">
      <c r="I189" s="213"/>
      <c r="J189" s="113">
        <f t="shared" si="44"/>
        <v>18096784</v>
      </c>
      <c r="K189" s="213" t="s">
        <v>5166</v>
      </c>
      <c r="L189" s="84">
        <v>951067529</v>
      </c>
      <c r="M189" s="84">
        <v>596275041</v>
      </c>
      <c r="N189" s="117">
        <f t="shared" si="43"/>
        <v>1547342570</v>
      </c>
      <c r="O189" s="113">
        <f t="shared" si="47"/>
        <v>8603623</v>
      </c>
      <c r="P189" s="113">
        <f t="shared" si="48"/>
        <v>26700407</v>
      </c>
      <c r="Q189" s="229">
        <v>0</v>
      </c>
    </row>
    <row r="190" spans="9:17" ht="30">
      <c r="I190" s="271" t="s">
        <v>5249</v>
      </c>
      <c r="J190" s="188">
        <f>L190-L189+4000000</f>
        <v>-1393565</v>
      </c>
      <c r="K190" s="189" t="s">
        <v>5248</v>
      </c>
      <c r="L190" s="239">
        <v>945673964</v>
      </c>
      <c r="M190" s="239">
        <v>604047583</v>
      </c>
      <c r="N190" s="188">
        <f t="shared" si="43"/>
        <v>1549721547</v>
      </c>
      <c r="O190" s="188">
        <f>M190-M189-10000000</f>
        <v>-2227458</v>
      </c>
      <c r="P190" s="188">
        <f>N190-N189-6000000</f>
        <v>-3621023</v>
      </c>
      <c r="Q190" s="229">
        <v>6000000</v>
      </c>
    </row>
    <row r="191" spans="9:17">
      <c r="I191" s="213"/>
      <c r="J191" s="113">
        <f t="shared" si="44"/>
        <v>3150981</v>
      </c>
      <c r="K191" s="213" t="s">
        <v>5256</v>
      </c>
      <c r="L191" s="84">
        <v>948824945</v>
      </c>
      <c r="M191" s="84">
        <v>605597895</v>
      </c>
      <c r="N191" s="117">
        <f t="shared" si="43"/>
        <v>1554422840</v>
      </c>
      <c r="O191" s="113">
        <f t="shared" si="47"/>
        <v>1550312</v>
      </c>
      <c r="P191" s="113">
        <f t="shared" si="48"/>
        <v>4701293</v>
      </c>
      <c r="Q191" s="229">
        <v>0</v>
      </c>
    </row>
    <row r="192" spans="9:17">
      <c r="I192" s="213"/>
      <c r="J192" s="113">
        <f t="shared" si="44"/>
        <v>-10638388</v>
      </c>
      <c r="K192" s="213" t="s">
        <v>5258</v>
      </c>
      <c r="L192" s="84">
        <v>938186557</v>
      </c>
      <c r="M192" s="84">
        <v>598751030</v>
      </c>
      <c r="N192" s="113">
        <f t="shared" si="43"/>
        <v>1536937587</v>
      </c>
      <c r="O192" s="113">
        <f t="shared" si="47"/>
        <v>-6846865</v>
      </c>
      <c r="P192" s="113">
        <f t="shared" si="48"/>
        <v>-17485253</v>
      </c>
      <c r="Q192" s="229">
        <v>0</v>
      </c>
    </row>
    <row r="193" spans="9:17">
      <c r="I193" s="213"/>
      <c r="J193" s="113">
        <f t="shared" si="44"/>
        <v>-21535837</v>
      </c>
      <c r="K193" s="213" t="s">
        <v>4348</v>
      </c>
      <c r="L193" s="84">
        <v>916650720</v>
      </c>
      <c r="M193" s="84">
        <v>586585010</v>
      </c>
      <c r="N193" s="113">
        <f t="shared" si="43"/>
        <v>1503235730</v>
      </c>
      <c r="O193" s="113">
        <f t="shared" si="47"/>
        <v>-12166020</v>
      </c>
      <c r="P193" s="113">
        <f t="shared" si="48"/>
        <v>-33701857</v>
      </c>
      <c r="Q193" s="229">
        <v>0</v>
      </c>
    </row>
    <row r="194" spans="9:17">
      <c r="I194" s="19"/>
      <c r="J194" s="117">
        <f>L194-L193</f>
        <v>-15375391</v>
      </c>
      <c r="K194" s="19" t="s">
        <v>5260</v>
      </c>
      <c r="L194" s="255">
        <v>901275329</v>
      </c>
      <c r="M194" s="255">
        <v>583098793</v>
      </c>
      <c r="N194" s="117">
        <f>L194+M194</f>
        <v>1484374122</v>
      </c>
      <c r="O194" s="117">
        <f t="shared" si="47"/>
        <v>-3486217</v>
      </c>
      <c r="P194" s="117">
        <f>N194-N193</f>
        <v>-18861608</v>
      </c>
      <c r="Q194" s="229">
        <v>0</v>
      </c>
    </row>
    <row r="195" spans="9:17">
      <c r="I195" s="189" t="s">
        <v>5269</v>
      </c>
      <c r="J195" s="188">
        <f>L195-L194-150000</f>
        <v>17593478</v>
      </c>
      <c r="K195" s="189" t="s">
        <v>5265</v>
      </c>
      <c r="L195" s="239">
        <v>919018807</v>
      </c>
      <c r="M195" s="239">
        <v>589857160</v>
      </c>
      <c r="N195" s="188">
        <f t="shared" si="43"/>
        <v>1508875967</v>
      </c>
      <c r="O195" s="188">
        <f>M195-M194</f>
        <v>6758367</v>
      </c>
      <c r="P195" s="188">
        <f>N195-N194-150000</f>
        <v>24351845</v>
      </c>
      <c r="Q195" s="229">
        <v>150000</v>
      </c>
    </row>
    <row r="196" spans="9:17">
      <c r="I196" s="213"/>
      <c r="J196" s="113">
        <f t="shared" si="44"/>
        <v>32160045</v>
      </c>
      <c r="K196" s="213" t="s">
        <v>5270</v>
      </c>
      <c r="L196" s="84">
        <v>951178852</v>
      </c>
      <c r="M196" s="84">
        <v>603949839</v>
      </c>
      <c r="N196" s="117">
        <f t="shared" si="43"/>
        <v>1555128691</v>
      </c>
      <c r="O196" s="113">
        <f t="shared" si="47"/>
        <v>14092679</v>
      </c>
      <c r="P196" s="113">
        <f t="shared" si="48"/>
        <v>46252724</v>
      </c>
      <c r="Q196" s="229">
        <v>0</v>
      </c>
    </row>
    <row r="197" spans="9:17">
      <c r="I197" s="213"/>
      <c r="J197" s="113">
        <f t="shared" si="44"/>
        <v>9807002</v>
      </c>
      <c r="K197" s="213" t="s">
        <v>5274</v>
      </c>
      <c r="L197" s="84">
        <v>960985854</v>
      </c>
      <c r="M197" s="84">
        <v>620237864</v>
      </c>
      <c r="N197" s="117">
        <f t="shared" si="43"/>
        <v>1581223718</v>
      </c>
      <c r="O197" s="113">
        <f t="shared" si="47"/>
        <v>16288025</v>
      </c>
      <c r="P197" s="113">
        <f t="shared" si="48"/>
        <v>26095027</v>
      </c>
      <c r="Q197" s="229">
        <v>0</v>
      </c>
    </row>
    <row r="198" spans="9:17">
      <c r="I198" s="213"/>
      <c r="J198" s="113">
        <f t="shared" si="44"/>
        <v>19013006</v>
      </c>
      <c r="K198" s="213" t="s">
        <v>5281</v>
      </c>
      <c r="L198" s="84">
        <v>979998860</v>
      </c>
      <c r="M198" s="84">
        <v>637744664</v>
      </c>
      <c r="N198" s="35">
        <f t="shared" si="43"/>
        <v>1617743524</v>
      </c>
      <c r="O198" s="113">
        <f t="shared" si="47"/>
        <v>17506800</v>
      </c>
      <c r="P198" s="113">
        <f t="shared" si="48"/>
        <v>36519806</v>
      </c>
      <c r="Q198" s="229">
        <v>0</v>
      </c>
    </row>
    <row r="199" spans="9:17">
      <c r="I199" s="213"/>
      <c r="J199" s="113">
        <f t="shared" si="44"/>
        <v>-979998860</v>
      </c>
      <c r="K199" s="213"/>
      <c r="L199" s="84"/>
      <c r="M199" s="84"/>
      <c r="N199" s="113">
        <f t="shared" si="43"/>
        <v>0</v>
      </c>
      <c r="O199" s="113">
        <f t="shared" si="47"/>
        <v>-637744664</v>
      </c>
      <c r="P199" s="113">
        <f t="shared" si="48"/>
        <v>-1617743524</v>
      </c>
      <c r="Q199" s="229"/>
    </row>
    <row r="200" spans="9:17">
      <c r="I200" s="213"/>
      <c r="J200" s="113">
        <f t="shared" si="44"/>
        <v>0</v>
      </c>
      <c r="K200" s="213"/>
      <c r="L200" s="84"/>
      <c r="M200" s="84"/>
      <c r="N200" s="113">
        <f t="shared" si="43"/>
        <v>0</v>
      </c>
      <c r="O200" s="113">
        <f t="shared" si="47"/>
        <v>0</v>
      </c>
      <c r="P200" s="113">
        <f t="shared" si="48"/>
        <v>0</v>
      </c>
      <c r="Q200" s="229"/>
    </row>
    <row r="201" spans="9:17">
      <c r="I201" s="213"/>
      <c r="J201" s="113">
        <f t="shared" si="44"/>
        <v>0</v>
      </c>
      <c r="K201" s="213"/>
      <c r="L201" s="84"/>
      <c r="M201" s="84"/>
      <c r="N201" s="113">
        <f t="shared" si="43"/>
        <v>0</v>
      </c>
      <c r="O201" s="113">
        <f t="shared" si="47"/>
        <v>0</v>
      </c>
      <c r="P201" s="113">
        <f t="shared" si="48"/>
        <v>0</v>
      </c>
      <c r="Q201" s="229"/>
    </row>
    <row r="202" spans="9:17">
      <c r="I202" s="213"/>
      <c r="J202" s="113">
        <f t="shared" si="44"/>
        <v>0</v>
      </c>
      <c r="K202" s="213"/>
      <c r="L202" s="84"/>
      <c r="M202" s="84"/>
      <c r="N202" s="113">
        <f t="shared" si="43"/>
        <v>0</v>
      </c>
      <c r="O202" s="113">
        <f t="shared" si="47"/>
        <v>0</v>
      </c>
      <c r="P202" s="113">
        <f t="shared" si="48"/>
        <v>0</v>
      </c>
      <c r="Q202" s="229"/>
    </row>
    <row r="203" spans="9:17">
      <c r="I203" s="213"/>
      <c r="J203" s="113">
        <f t="shared" si="44"/>
        <v>0</v>
      </c>
      <c r="K203" s="213"/>
      <c r="L203" s="84"/>
      <c r="M203" s="84"/>
      <c r="N203" s="113">
        <f t="shared" si="43"/>
        <v>0</v>
      </c>
      <c r="O203" s="113">
        <f t="shared" si="47"/>
        <v>0</v>
      </c>
      <c r="P203" s="113">
        <f t="shared" si="48"/>
        <v>0</v>
      </c>
      <c r="Q203" s="229"/>
    </row>
    <row r="204" spans="9:17">
      <c r="I204" s="213"/>
      <c r="J204" s="113">
        <f t="shared" si="44"/>
        <v>0</v>
      </c>
      <c r="K204" s="213">
        <v>0</v>
      </c>
      <c r="L204" s="84">
        <v>0</v>
      </c>
      <c r="M204" s="84">
        <v>0</v>
      </c>
      <c r="N204" s="113">
        <f t="shared" si="43"/>
        <v>0</v>
      </c>
      <c r="O204" s="113">
        <f t="shared" si="47"/>
        <v>0</v>
      </c>
      <c r="P204" s="113">
        <f t="shared" si="48"/>
        <v>0</v>
      </c>
      <c r="Q204" s="229"/>
    </row>
    <row r="205" spans="9:17">
      <c r="I205" s="213"/>
      <c r="J205" s="113">
        <f t="shared" si="44"/>
        <v>0</v>
      </c>
      <c r="K205" s="213">
        <v>0</v>
      </c>
      <c r="L205" s="84">
        <v>0</v>
      </c>
      <c r="M205" s="84">
        <v>0</v>
      </c>
      <c r="N205" s="113">
        <f t="shared" si="43"/>
        <v>0</v>
      </c>
      <c r="O205" s="113">
        <f t="shared" si="47"/>
        <v>0</v>
      </c>
      <c r="P205" s="113">
        <f t="shared" si="48"/>
        <v>0</v>
      </c>
      <c r="Q205" s="229"/>
    </row>
    <row r="206" spans="9:17">
      <c r="I206" s="213"/>
      <c r="J206" s="113">
        <f t="shared" si="44"/>
        <v>0</v>
      </c>
      <c r="K206" s="213"/>
      <c r="L206" s="84">
        <v>0</v>
      </c>
      <c r="M206" s="84"/>
      <c r="N206" s="213">
        <f t="shared" si="43"/>
        <v>0</v>
      </c>
      <c r="O206" s="113">
        <f t="shared" si="47"/>
        <v>0</v>
      </c>
      <c r="P206" s="113">
        <f t="shared" si="48"/>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A16" zoomScaleNormal="100" workbookViewId="0">
      <selection activeCell="E54" sqref="E5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5141</v>
      </c>
      <c r="P28" s="18">
        <v>100000</v>
      </c>
      <c r="Q28" s="99">
        <v>1</v>
      </c>
      <c r="R28" s="99"/>
      <c r="S28" s="99"/>
      <c r="T28" s="99"/>
    </row>
    <row r="29" spans="1:22">
      <c r="O29" s="99" t="s">
        <v>5142</v>
      </c>
      <c r="P29" s="18">
        <v>-6423626</v>
      </c>
      <c r="Q29" s="99">
        <v>1</v>
      </c>
      <c r="R29" s="99"/>
      <c r="S29" s="99"/>
      <c r="T29" s="99"/>
    </row>
    <row r="30" spans="1:22">
      <c r="B30" s="96"/>
      <c r="E30" s="96"/>
      <c r="F30" s="96"/>
      <c r="O30" s="99" t="s">
        <v>5145</v>
      </c>
      <c r="P30" s="18">
        <v>-4592486</v>
      </c>
      <c r="Q30" s="99">
        <v>0</v>
      </c>
      <c r="R30" s="99"/>
      <c r="S30" s="99"/>
      <c r="T30" s="99"/>
      <c r="V30" t="s">
        <v>25</v>
      </c>
    </row>
    <row r="31" spans="1:22">
      <c r="B31" s="96"/>
      <c r="E31" s="96"/>
      <c r="F31" s="96"/>
      <c r="O31" s="99" t="s">
        <v>5145</v>
      </c>
      <c r="P31" s="18">
        <v>4346112</v>
      </c>
      <c r="Q31" s="99">
        <v>11</v>
      </c>
      <c r="R31" s="99"/>
      <c r="S31" s="99"/>
      <c r="T31" s="99"/>
    </row>
    <row r="32" spans="1:22">
      <c r="B32" s="96"/>
      <c r="E32" s="96"/>
      <c r="F32" s="96"/>
      <c r="O32" s="99" t="s">
        <v>5164</v>
      </c>
      <c r="P32" s="18">
        <v>1500000</v>
      </c>
      <c r="Q32" s="99">
        <v>16</v>
      </c>
      <c r="R32" s="99"/>
      <c r="S32" s="99"/>
      <c r="T32" s="99"/>
    </row>
    <row r="33" spans="1:22">
      <c r="A33" s="96"/>
      <c r="B33" s="96"/>
      <c r="E33" s="96"/>
      <c r="F33" s="96"/>
      <c r="O33" s="99" t="s">
        <v>5148</v>
      </c>
      <c r="P33" s="18">
        <v>6000000</v>
      </c>
      <c r="Q33" s="99">
        <v>8</v>
      </c>
      <c r="R33" s="99"/>
      <c r="S33" s="99"/>
      <c r="T33" s="99"/>
    </row>
    <row r="34" spans="1:22">
      <c r="A34" s="96"/>
      <c r="B34" s="96"/>
      <c r="E34" s="96"/>
      <c r="F34" s="96"/>
      <c r="O34" s="99" t="s">
        <v>5215</v>
      </c>
      <c r="P34" s="18">
        <v>-50000</v>
      </c>
      <c r="Q34" s="99">
        <v>3</v>
      </c>
      <c r="R34" s="99"/>
      <c r="S34" s="99"/>
      <c r="T34" s="99"/>
    </row>
    <row r="35" spans="1:22">
      <c r="A35" s="96"/>
      <c r="B35" s="96"/>
      <c r="E35" s="96"/>
      <c r="F35" s="96"/>
      <c r="O35" s="99" t="s">
        <v>5220</v>
      </c>
      <c r="P35" s="18">
        <v>-20000</v>
      </c>
      <c r="Q35" s="99">
        <v>7</v>
      </c>
      <c r="R35" s="99"/>
      <c r="S35" s="99"/>
      <c r="T35" s="99"/>
    </row>
    <row r="36" spans="1:22">
      <c r="A36" s="96"/>
      <c r="B36" s="96"/>
      <c r="E36" s="96"/>
      <c r="F36" s="96"/>
      <c r="N36" t="s">
        <v>25</v>
      </c>
      <c r="O36" s="99" t="s">
        <v>5166</v>
      </c>
      <c r="P36" s="18">
        <v>6000000</v>
      </c>
      <c r="Q36" s="99">
        <v>1</v>
      </c>
      <c r="R36" s="99"/>
      <c r="S36" s="99"/>
      <c r="T36" s="99"/>
      <c r="V36" t="s">
        <v>25</v>
      </c>
    </row>
    <row r="37" spans="1:22">
      <c r="A37" s="96"/>
      <c r="B37" s="96"/>
      <c r="E37" s="96"/>
      <c r="F37" s="96"/>
      <c r="O37" s="99" t="s">
        <v>5248</v>
      </c>
      <c r="P37" s="18">
        <v>-2302282</v>
      </c>
      <c r="Q37" s="99">
        <v>6</v>
      </c>
      <c r="R37" s="99"/>
      <c r="S37" s="99"/>
      <c r="T37" s="99"/>
    </row>
    <row r="38" spans="1:22">
      <c r="A38" s="96"/>
      <c r="B38" s="96"/>
      <c r="E38" s="96"/>
      <c r="F38" s="96"/>
      <c r="O38" s="99" t="s">
        <v>5260</v>
      </c>
      <c r="P38" s="18">
        <v>100000</v>
      </c>
      <c r="Q38" s="99">
        <v>1</v>
      </c>
      <c r="R38" s="99"/>
      <c r="S38" s="99"/>
      <c r="T38" s="99"/>
    </row>
    <row r="39" spans="1:22">
      <c r="A39" s="96"/>
      <c r="B39" s="96"/>
      <c r="E39" s="96"/>
      <c r="F39" s="96"/>
      <c r="O39" s="99" t="s">
        <v>5265</v>
      </c>
      <c r="P39" s="18">
        <v>-1727718</v>
      </c>
      <c r="Q39" s="99">
        <v>1</v>
      </c>
      <c r="R39" s="99"/>
      <c r="S39" s="99"/>
      <c r="T39" s="99"/>
      <c r="V39" t="s">
        <v>25</v>
      </c>
    </row>
    <row r="40" spans="1:22">
      <c r="A40" s="96"/>
      <c r="B40" s="96"/>
      <c r="E40" s="96"/>
      <c r="F40" s="96"/>
      <c r="O40" s="99" t="s">
        <v>5274</v>
      </c>
      <c r="P40" s="18">
        <v>-1000000</v>
      </c>
      <c r="Q40" s="99"/>
      <c r="R40" s="99"/>
      <c r="S40" s="99"/>
      <c r="T40" s="99"/>
    </row>
    <row r="41" spans="1:22">
      <c r="A41" s="96"/>
      <c r="B41" s="96"/>
      <c r="E41" s="96"/>
      <c r="F41" s="96"/>
      <c r="O41" s="99" t="s">
        <v>5274</v>
      </c>
      <c r="P41" s="18">
        <v>-439200</v>
      </c>
      <c r="Q41" s="99"/>
      <c r="R41" s="99"/>
      <c r="S41" s="99"/>
      <c r="T41" s="99"/>
    </row>
    <row r="42" spans="1:22">
      <c r="A42" s="96"/>
      <c r="B42" s="96"/>
      <c r="E42" s="96"/>
      <c r="F42" s="96"/>
      <c r="O42" s="99" t="s">
        <v>5281</v>
      </c>
      <c r="P42" s="18">
        <v>-3631879</v>
      </c>
      <c r="Q42" s="99"/>
      <c r="R42" s="99"/>
      <c r="S42" s="99"/>
      <c r="T42" s="99"/>
    </row>
    <row r="43" spans="1:22">
      <c r="A43" s="96"/>
      <c r="B43" s="96"/>
      <c r="E43" s="96"/>
      <c r="F43" s="96"/>
      <c r="O43" s="99"/>
      <c r="P43" s="18"/>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4428921</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H87" sqref="H8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5259</v>
      </c>
      <c r="I88" t="s">
        <v>25</v>
      </c>
    </row>
    <row r="89" spans="1:21">
      <c r="D89" s="18">
        <v>-250000</v>
      </c>
      <c r="E89" s="256" t="s">
        <v>5280</v>
      </c>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23605909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5095</v>
      </c>
      <c r="X20" s="41">
        <v>9194342556</v>
      </c>
      <c r="Y20" s="41">
        <v>200</v>
      </c>
      <c r="Z20" s="41"/>
      <c r="AB20" s="96"/>
      <c r="AC20" s="96"/>
      <c r="AD20" s="96"/>
      <c r="AE20" s="96"/>
      <c r="AF20" s="96"/>
      <c r="AG20" s="96"/>
      <c r="AH20" s="96"/>
      <c r="AI20" s="96"/>
    </row>
    <row r="21" spans="5:35">
      <c r="O21" s="99"/>
      <c r="P21" s="99"/>
      <c r="Q21" s="278" t="s">
        <v>1088</v>
      </c>
      <c r="R21" s="278"/>
      <c r="S21" s="278"/>
      <c r="T21" s="278"/>
      <c r="U21" s="96"/>
      <c r="V21" s="96"/>
      <c r="W21" s="41" t="s">
        <v>5094</v>
      </c>
      <c r="X21" s="41">
        <v>9035210431</v>
      </c>
      <c r="Y21" s="41">
        <v>50</v>
      </c>
      <c r="Z21" s="41"/>
    </row>
    <row r="22" spans="5:35">
      <c r="O22" s="99"/>
      <c r="P22" s="99"/>
      <c r="Q22" s="278"/>
      <c r="R22" s="278"/>
      <c r="S22" s="278"/>
      <c r="T22" s="278"/>
      <c r="U22" s="96"/>
      <c r="V22" s="96"/>
      <c r="W22" s="41" t="s">
        <v>5209</v>
      </c>
      <c r="X22" s="41">
        <v>9909620343</v>
      </c>
      <c r="Y22" s="41">
        <v>100</v>
      </c>
      <c r="Z22" s="41"/>
    </row>
    <row r="23" spans="5:35" ht="15.75">
      <c r="O23" s="178"/>
      <c r="P23" s="99" t="s">
        <v>4085</v>
      </c>
      <c r="Q23" s="279" t="s">
        <v>1089</v>
      </c>
      <c r="R23" s="280" t="s">
        <v>1090</v>
      </c>
      <c r="S23" s="279" t="s">
        <v>1091</v>
      </c>
      <c r="T23" s="281" t="s">
        <v>1092</v>
      </c>
      <c r="W23" s="41" t="s">
        <v>5210</v>
      </c>
      <c r="X23" s="41">
        <v>9378807702</v>
      </c>
      <c r="Y23" s="41">
        <v>0</v>
      </c>
      <c r="Z23" s="41"/>
      <c r="AD23" t="s">
        <v>25</v>
      </c>
    </row>
    <row r="24" spans="5:35">
      <c r="O24" s="99"/>
      <c r="P24" s="99"/>
      <c r="Q24" s="279"/>
      <c r="R24" s="280"/>
      <c r="S24" s="279"/>
      <c r="T24" s="281"/>
      <c r="W24" s="41" t="s">
        <v>5247</v>
      </c>
      <c r="X24" s="41"/>
      <c r="Y24" s="41">
        <v>200</v>
      </c>
      <c r="Z24" s="41">
        <v>2</v>
      </c>
    </row>
    <row r="25" spans="5:35">
      <c r="O25" s="173" t="s">
        <v>4141</v>
      </c>
      <c r="P25" s="173">
        <v>2182188507</v>
      </c>
      <c r="Q25" s="174" t="s">
        <v>1093</v>
      </c>
      <c r="R25" s="174" t="s">
        <v>4086</v>
      </c>
      <c r="S25" s="174" t="s">
        <v>4091</v>
      </c>
      <c r="T25" s="174" t="s">
        <v>1094</v>
      </c>
      <c r="W25" s="41" t="s">
        <v>5291</v>
      </c>
      <c r="X25" s="41">
        <v>9013075723</v>
      </c>
      <c r="Y25" s="41">
        <v>100</v>
      </c>
      <c r="Z25" s="41"/>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5201</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5186</v>
      </c>
      <c r="B302" s="113">
        <v>4000000</v>
      </c>
      <c r="C302" s="99">
        <v>1</v>
      </c>
      <c r="D302" s="99">
        <f t="shared" si="17"/>
        <v>11</v>
      </c>
      <c r="E302" s="99">
        <f t="shared" si="18"/>
        <v>0</v>
      </c>
      <c r="F302" s="99">
        <f t="shared" si="19"/>
        <v>-1362460</v>
      </c>
      <c r="G302" s="99"/>
    </row>
    <row r="303" spans="1:10">
      <c r="A303" s="99" t="s">
        <v>5191</v>
      </c>
      <c r="B303" s="113">
        <v>-123860</v>
      </c>
      <c r="C303" s="99">
        <v>1</v>
      </c>
      <c r="D303" s="99">
        <f t="shared" si="17"/>
        <v>10</v>
      </c>
      <c r="E303" s="99">
        <f t="shared" si="18"/>
        <v>0</v>
      </c>
      <c r="F303" s="99">
        <f t="shared" si="19"/>
        <v>-16600000</v>
      </c>
      <c r="G303" s="99"/>
    </row>
    <row r="304" spans="1:10">
      <c r="A304" s="99" t="s">
        <v>5148</v>
      </c>
      <c r="B304" s="113">
        <v>-1660000</v>
      </c>
      <c r="C304" s="99">
        <v>1</v>
      </c>
      <c r="D304" s="99">
        <f t="shared" si="17"/>
        <v>9</v>
      </c>
      <c r="E304" s="99">
        <f t="shared" si="18"/>
        <v>0</v>
      </c>
      <c r="F304" s="99">
        <f t="shared" si="19"/>
        <v>-574713</v>
      </c>
      <c r="G304" s="99"/>
    </row>
    <row r="305" spans="1:11">
      <c r="A305" s="99" t="s">
        <v>5199</v>
      </c>
      <c r="B305" s="113">
        <v>-63857</v>
      </c>
      <c r="C305" s="99">
        <v>0</v>
      </c>
      <c r="D305" s="99">
        <f t="shared" si="17"/>
        <v>8</v>
      </c>
      <c r="E305" s="99">
        <f t="shared" si="18"/>
        <v>0</v>
      </c>
      <c r="F305" s="99">
        <f t="shared" si="19"/>
        <v>-5048</v>
      </c>
      <c r="G305" s="99"/>
    </row>
    <row r="306" spans="1:11">
      <c r="A306" s="99" t="s">
        <v>5202</v>
      </c>
      <c r="B306" s="113">
        <v>-631</v>
      </c>
      <c r="C306" s="99">
        <v>2</v>
      </c>
      <c r="D306" s="99">
        <f t="shared" si="17"/>
        <v>8</v>
      </c>
      <c r="E306" s="99">
        <f t="shared" si="18"/>
        <v>0</v>
      </c>
      <c r="F306" s="99">
        <f t="shared" si="19"/>
        <v>-1991240</v>
      </c>
      <c r="G306" s="99" t="s">
        <v>506</v>
      </c>
      <c r="J306" t="s">
        <v>25</v>
      </c>
    </row>
    <row r="307" spans="1:11">
      <c r="A307" s="99" t="s">
        <v>5208</v>
      </c>
      <c r="B307" s="113">
        <v>-248905</v>
      </c>
      <c r="C307" s="99">
        <v>2</v>
      </c>
      <c r="D307" s="99">
        <f t="shared" si="17"/>
        <v>6</v>
      </c>
      <c r="E307" s="99">
        <f t="shared" si="18"/>
        <v>0</v>
      </c>
      <c r="F307" s="99">
        <f t="shared" si="19"/>
        <v>-1200000</v>
      </c>
      <c r="G307" s="99"/>
    </row>
    <row r="308" spans="1:11">
      <c r="A308" s="99" t="s">
        <v>5206</v>
      </c>
      <c r="B308" s="113">
        <v>-200000</v>
      </c>
      <c r="C308" s="99">
        <v>0</v>
      </c>
      <c r="D308" s="99">
        <f t="shared" si="17"/>
        <v>4</v>
      </c>
      <c r="E308" s="99">
        <f t="shared" si="18"/>
        <v>0</v>
      </c>
      <c r="F308" s="99">
        <f t="shared" si="19"/>
        <v>-800000</v>
      </c>
      <c r="G308" s="99"/>
    </row>
    <row r="309" spans="1:11">
      <c r="A309" s="99" t="s">
        <v>5206</v>
      </c>
      <c r="B309" s="113">
        <v>-200000</v>
      </c>
      <c r="C309" s="99">
        <v>3</v>
      </c>
      <c r="D309" s="99">
        <f t="shared" si="17"/>
        <v>4</v>
      </c>
      <c r="E309" s="99">
        <f t="shared" si="18"/>
        <v>0</v>
      </c>
      <c r="F309" s="99">
        <f t="shared" si="19"/>
        <v>-3330360</v>
      </c>
      <c r="G309" s="99"/>
    </row>
    <row r="310" spans="1:11">
      <c r="A310" s="99" t="s">
        <v>5215</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6"/>
  <sheetViews>
    <sheetView tabSelected="1" topLeftCell="K27" zoomScale="90" zoomScaleNormal="90" workbookViewId="0">
      <selection activeCell="N32" sqref="N3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4848005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837449</v>
      </c>
      <c r="O20" s="99" t="s">
        <v>936</v>
      </c>
      <c r="P20" s="99" t="s">
        <v>3928</v>
      </c>
      <c r="Q20" s="169">
        <v>9268987</v>
      </c>
      <c r="R20" s="168" t="s">
        <v>4171</v>
      </c>
      <c r="S20" s="191">
        <f>S108</f>
        <v>358</v>
      </c>
      <c r="T20" s="168" t="s">
        <v>4307</v>
      </c>
      <c r="U20" s="168">
        <v>192.1</v>
      </c>
      <c r="V20" s="168">
        <f>U20*(1+$R$104+$Q$15*S20/36500)</f>
        <v>247.77636931506851</v>
      </c>
      <c r="W20" s="32">
        <f t="shared" ref="W20:W29" si="6">V20*(1+$W$19/100)</f>
        <v>252.73189670136989</v>
      </c>
      <c r="X20" s="32">
        <f t="shared" ref="X20:X29" si="7">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766780196.15717733</v>
      </c>
      <c r="M21" s="168" t="s">
        <v>4299</v>
      </c>
      <c r="N21" s="113">
        <f t="shared" ref="N21:N29" si="8">O21*P21</f>
        <v>483658660.80000001</v>
      </c>
      <c r="O21" s="99">
        <v>1614348</v>
      </c>
      <c r="P21" s="185">
        <f>P54</f>
        <v>299.60000000000002</v>
      </c>
      <c r="Q21" s="169">
        <v>1353959</v>
      </c>
      <c r="R21" s="168" t="s">
        <v>4425</v>
      </c>
      <c r="S21" s="198">
        <f>S20-59</f>
        <v>299</v>
      </c>
      <c r="T21" s="19" t="s">
        <v>4469</v>
      </c>
      <c r="U21" s="168">
        <v>192.2</v>
      </c>
      <c r="V21" s="168">
        <f>U21*(1+$R$104+$Q$15*S21/36500)</f>
        <v>239.20632767123288</v>
      </c>
      <c r="W21" s="32">
        <f t="shared" si="6"/>
        <v>243.99045422465755</v>
      </c>
      <c r="X21" s="32">
        <f t="shared" si="7"/>
        <v>248.7745807780822</v>
      </c>
      <c r="Y21" s="115"/>
      <c r="Z21" s="115"/>
      <c r="AH21" s="99">
        <v>2</v>
      </c>
      <c r="AI21" s="113" t="s">
        <v>1109</v>
      </c>
      <c r="AJ21" s="113">
        <v>2500000</v>
      </c>
      <c r="AK21" s="99">
        <v>1</v>
      </c>
      <c r="AL21" s="99">
        <f t="shared" ref="AL21:AL63" si="9">AL22+AK21</f>
        <v>530</v>
      </c>
      <c r="AM21" s="113">
        <f t="shared" ref="AM21:AM120" si="10">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8357880.9999999991</v>
      </c>
      <c r="O22" s="99">
        <v>1715</v>
      </c>
      <c r="P22" s="185">
        <f>P48</f>
        <v>4873.3999999999996</v>
      </c>
      <c r="Q22" s="169">
        <v>1614398</v>
      </c>
      <c r="R22" s="168" t="s">
        <v>4431</v>
      </c>
      <c r="S22" s="168">
        <f>S21-3</f>
        <v>296</v>
      </c>
      <c r="T22" s="19" t="s">
        <v>4502</v>
      </c>
      <c r="U22" s="168">
        <v>184.6</v>
      </c>
      <c r="V22" s="168">
        <f>U22*(1+$R$104+$Q$15*S22/36500)</f>
        <v>229.32276383561646</v>
      </c>
      <c r="W22" s="32">
        <f t="shared" si="6"/>
        <v>233.9092191123288</v>
      </c>
      <c r="X22" s="32">
        <f t="shared" si="7"/>
        <v>238.49567438904111</v>
      </c>
      <c r="Y22" s="115"/>
      <c r="Z22" s="115"/>
      <c r="AH22" s="99">
        <v>3</v>
      </c>
      <c r="AI22" s="113" t="s">
        <v>1118</v>
      </c>
      <c r="AJ22" s="113">
        <v>8000000</v>
      </c>
      <c r="AK22" s="99">
        <v>1</v>
      </c>
      <c r="AL22" s="99">
        <f t="shared" si="9"/>
        <v>529</v>
      </c>
      <c r="AM22" s="113">
        <f t="shared" si="10"/>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4392</v>
      </c>
      <c r="N23" s="113">
        <f t="shared" si="8"/>
        <v>0</v>
      </c>
      <c r="O23" s="99">
        <v>0</v>
      </c>
      <c r="P23" s="185">
        <v>6079.3</v>
      </c>
      <c r="Q23" s="169">
        <v>133576</v>
      </c>
      <c r="R23" s="168" t="s">
        <v>4509</v>
      </c>
      <c r="S23" s="197">
        <f>S22-22</f>
        <v>274</v>
      </c>
      <c r="T23" s="168" t="s">
        <v>4510</v>
      </c>
      <c r="U23" s="168">
        <v>166.2</v>
      </c>
      <c r="V23" s="168">
        <f>U23*(1+$R$104+$Q$15*S23/36500)</f>
        <v>203.66011397260274</v>
      </c>
      <c r="W23" s="32">
        <f t="shared" si="6"/>
        <v>207.73331625205481</v>
      </c>
      <c r="X23" s="32">
        <f t="shared" si="7"/>
        <v>211.80651853150687</v>
      </c>
      <c r="Y23" s="96"/>
      <c r="Z23" s="96"/>
      <c r="AH23" s="99">
        <v>4</v>
      </c>
      <c r="AI23" s="113" t="s">
        <v>4053</v>
      </c>
      <c r="AJ23" s="113">
        <v>-79552</v>
      </c>
      <c r="AK23" s="99">
        <v>1</v>
      </c>
      <c r="AL23" s="99">
        <f t="shared" si="9"/>
        <v>528</v>
      </c>
      <c r="AM23" s="113">
        <f t="shared" si="10"/>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L67</f>
        <v>668748584.75717735</v>
      </c>
      <c r="G24" s="95">
        <f t="shared" si="0"/>
        <v>-388442239.37523872</v>
      </c>
      <c r="H24" s="11"/>
      <c r="I24" s="96"/>
      <c r="J24" s="96"/>
      <c r="K24" s="213"/>
      <c r="L24" s="117"/>
      <c r="M24" s="213" t="s">
        <v>5271</v>
      </c>
      <c r="N24" s="113">
        <f t="shared" si="8"/>
        <v>746250</v>
      </c>
      <c r="O24" s="99">
        <v>250</v>
      </c>
      <c r="P24" s="185">
        <f>P55</f>
        <v>2985</v>
      </c>
      <c r="Q24" s="169">
        <v>220803</v>
      </c>
      <c r="R24" s="168" t="s">
        <v>4229</v>
      </c>
      <c r="S24" s="197">
        <f>S23-1</f>
        <v>273</v>
      </c>
      <c r="T24" s="168" t="s">
        <v>4516</v>
      </c>
      <c r="U24" s="168">
        <v>166</v>
      </c>
      <c r="V24" s="168">
        <f>U24*(1+$R$104+$Q$15*S24/36500)</f>
        <v>203.28769315068496</v>
      </c>
      <c r="W24" s="32">
        <f t="shared" si="6"/>
        <v>207.35344701369866</v>
      </c>
      <c r="X24" s="32">
        <f t="shared" si="7"/>
        <v>211.41920087671235</v>
      </c>
      <c r="Y24" s="96"/>
      <c r="Z24" s="96"/>
      <c r="AH24" s="99">
        <v>5</v>
      </c>
      <c r="AI24" s="113" t="s">
        <v>1130</v>
      </c>
      <c r="AJ24" s="113">
        <v>165500</v>
      </c>
      <c r="AK24" s="99">
        <v>12</v>
      </c>
      <c r="AL24" s="99">
        <f t="shared" si="9"/>
        <v>527</v>
      </c>
      <c r="AM24" s="113">
        <f t="shared" si="10"/>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5241</v>
      </c>
      <c r="N25" s="113">
        <f t="shared" si="8"/>
        <v>12000000</v>
      </c>
      <c r="O25" s="99">
        <v>30</v>
      </c>
      <c r="P25" s="185">
        <f>P56</f>
        <v>400000</v>
      </c>
      <c r="Q25" s="169">
        <v>1023940</v>
      </c>
      <c r="R25" s="168" t="s">
        <v>4517</v>
      </c>
      <c r="S25" s="197">
        <f>S24-2</f>
        <v>271</v>
      </c>
      <c r="T25" s="168" t="s">
        <v>4523</v>
      </c>
      <c r="U25" s="168">
        <v>160.19999999999999</v>
      </c>
      <c r="V25" s="168">
        <f>U25*(1+$R$104+$Q$15*S25/36500)</f>
        <v>195.93908383561646</v>
      </c>
      <c r="W25" s="32">
        <f t="shared" si="6"/>
        <v>199.8578655123288</v>
      </c>
      <c r="X25" s="32">
        <f t="shared" si="7"/>
        <v>203.77664718904111</v>
      </c>
      <c r="Y25" s="96"/>
      <c r="Z25" s="96" t="s">
        <v>25</v>
      </c>
      <c r="AH25" s="99">
        <v>6</v>
      </c>
      <c r="AI25" s="113" t="s">
        <v>1155</v>
      </c>
      <c r="AJ25" s="113">
        <v>-28830327</v>
      </c>
      <c r="AK25" s="99">
        <v>6</v>
      </c>
      <c r="AL25" s="99">
        <f t="shared" si="9"/>
        <v>515</v>
      </c>
      <c r="AM25" s="113">
        <f t="shared" si="10"/>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5240</v>
      </c>
      <c r="N26" s="113">
        <f t="shared" si="8"/>
        <v>1492500</v>
      </c>
      <c r="O26" s="99">
        <v>500</v>
      </c>
      <c r="P26" s="185">
        <f>P55</f>
        <v>2985</v>
      </c>
      <c r="Q26" s="169">
        <v>168846</v>
      </c>
      <c r="R26" s="168" t="s">
        <v>3690</v>
      </c>
      <c r="S26" s="197">
        <f>S25-28</f>
        <v>243</v>
      </c>
      <c r="T26" s="168" t="s">
        <v>4612</v>
      </c>
      <c r="U26" s="168">
        <v>172.2</v>
      </c>
      <c r="V26" s="168">
        <f>U26*(1+$R$104+$Q$15*S26/36500)</f>
        <v>206.91740712328769</v>
      </c>
      <c r="W26" s="32">
        <f t="shared" si="6"/>
        <v>211.05575526575345</v>
      </c>
      <c r="X26" s="32">
        <f t="shared" si="7"/>
        <v>215.19410340821921</v>
      </c>
      <c r="Y26" s="96"/>
      <c r="Z26" s="96"/>
      <c r="AH26" s="99">
        <v>7</v>
      </c>
      <c r="AI26" s="113" t="s">
        <v>1180</v>
      </c>
      <c r="AJ26" s="113">
        <v>18500000</v>
      </c>
      <c r="AK26" s="99">
        <v>1</v>
      </c>
      <c r="AL26" s="99">
        <f t="shared" si="9"/>
        <v>509</v>
      </c>
      <c r="AM26" s="113">
        <f t="shared" si="10"/>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5234</v>
      </c>
      <c r="N27" s="113">
        <f t="shared" si="8"/>
        <v>-13440000</v>
      </c>
      <c r="O27" s="99">
        <v>-1200</v>
      </c>
      <c r="P27" s="185">
        <f>P57</f>
        <v>11200</v>
      </c>
      <c r="Q27" s="169">
        <v>350718</v>
      </c>
      <c r="R27" s="213" t="s">
        <v>4681</v>
      </c>
      <c r="S27" s="197">
        <f>S26-17</f>
        <v>226</v>
      </c>
      <c r="T27" s="213" t="s">
        <v>4682</v>
      </c>
      <c r="U27" s="213">
        <v>502.3</v>
      </c>
      <c r="V27" s="213">
        <f>U27*(1+$R$104+$Q$15*S27/36500)</f>
        <v>597.01864219178083</v>
      </c>
      <c r="W27" s="32">
        <f t="shared" si="6"/>
        <v>608.9590150356164</v>
      </c>
      <c r="X27" s="32">
        <f t="shared" si="7"/>
        <v>620.89938787945209</v>
      </c>
      <c r="Y27" s="96"/>
      <c r="Z27" s="96"/>
      <c r="AH27" s="99">
        <v>8</v>
      </c>
      <c r="AI27" s="113" t="s">
        <v>1189</v>
      </c>
      <c r="AJ27" s="113">
        <v>-18550000</v>
      </c>
      <c r="AK27" s="99">
        <v>1</v>
      </c>
      <c r="AL27" s="99">
        <f t="shared" si="9"/>
        <v>508</v>
      </c>
      <c r="AM27" s="113">
        <f t="shared" si="10"/>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213" t="s">
        <v>5282</v>
      </c>
      <c r="N28" s="113">
        <f t="shared" si="8"/>
        <v>297107</v>
      </c>
      <c r="O28" s="99">
        <v>1493</v>
      </c>
      <c r="P28" s="185">
        <f>P53</f>
        <v>199</v>
      </c>
      <c r="Q28" s="169">
        <v>17953742</v>
      </c>
      <c r="R28" s="213" t="s">
        <v>3683</v>
      </c>
      <c r="S28" s="197">
        <f>S27-15</f>
        <v>211</v>
      </c>
      <c r="T28" s="213" t="s">
        <v>4719</v>
      </c>
      <c r="U28" s="213">
        <v>486.4</v>
      </c>
      <c r="V28" s="213">
        <f>U28*(1+$R$104+$Q$15*S28/36500)</f>
        <v>572.52344986301375</v>
      </c>
      <c r="W28" s="32">
        <f t="shared" si="6"/>
        <v>583.97391886027401</v>
      </c>
      <c r="X28" s="32">
        <f t="shared" si="7"/>
        <v>595.42438785753427</v>
      </c>
      <c r="Y28" s="96"/>
      <c r="Z28" s="96"/>
      <c r="AH28" s="99">
        <v>9</v>
      </c>
      <c r="AI28" s="113" t="s">
        <v>1196</v>
      </c>
      <c r="AJ28" s="113">
        <v>-64961</v>
      </c>
      <c r="AK28" s="99">
        <v>5</v>
      </c>
      <c r="AL28" s="99">
        <f t="shared" si="9"/>
        <v>507</v>
      </c>
      <c r="AM28" s="113">
        <f t="shared" si="10"/>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4467</v>
      </c>
      <c r="L29" s="117">
        <f>-'فروردین 98'!D96</f>
        <v>-23605909</v>
      </c>
      <c r="M29" s="213" t="s">
        <v>4406</v>
      </c>
      <c r="N29" s="113">
        <f t="shared" si="8"/>
        <v>134682391.19999999</v>
      </c>
      <c r="O29" s="99">
        <v>156808</v>
      </c>
      <c r="P29" s="185">
        <f>P49</f>
        <v>858.9</v>
      </c>
      <c r="Q29" s="169">
        <v>9566181</v>
      </c>
      <c r="R29" s="213" t="s">
        <v>4720</v>
      </c>
      <c r="S29" s="197">
        <f>S28-1</f>
        <v>210</v>
      </c>
      <c r="T29" s="213" t="s">
        <v>4721</v>
      </c>
      <c r="U29" s="213">
        <v>476.1</v>
      </c>
      <c r="V29" s="213">
        <f>U29*(1+$R$104+$Q$15*S29/36500)</f>
        <v>560.03447342465768</v>
      </c>
      <c r="W29" s="32">
        <f t="shared" si="6"/>
        <v>571.2351628931508</v>
      </c>
      <c r="X29" s="32">
        <f t="shared" si="7"/>
        <v>582.43585236164404</v>
      </c>
      <c r="Y29" s="96"/>
      <c r="Z29" s="96"/>
      <c r="AH29" s="99">
        <v>10</v>
      </c>
      <c r="AI29" s="113" t="s">
        <v>1212</v>
      </c>
      <c r="AJ29" s="113">
        <v>6400000</v>
      </c>
      <c r="AK29" s="99">
        <v>1</v>
      </c>
      <c r="AL29" s="99">
        <f t="shared" si="9"/>
        <v>502</v>
      </c>
      <c r="AM29" s="113">
        <f t="shared" si="10"/>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O30" s="69" t="s">
        <v>25</v>
      </c>
      <c r="P30" s="99"/>
      <c r="Q30" s="169">
        <v>1563192</v>
      </c>
      <c r="R30" s="213" t="s">
        <v>4720</v>
      </c>
      <c r="S30" s="197">
        <f>S29</f>
        <v>210</v>
      </c>
      <c r="T30" s="213" t="s">
        <v>4722</v>
      </c>
      <c r="U30" s="213">
        <v>168.8</v>
      </c>
      <c r="V30" s="213">
        <f>U30*(1+$R$104+$Q$15*S30/36500)</f>
        <v>198.55874630136989</v>
      </c>
      <c r="W30" s="32">
        <f t="shared" ref="W30:W49" si="12">V30*(1+$W$19/100)</f>
        <v>202.5299212273973</v>
      </c>
      <c r="X30" s="32">
        <f t="shared" ref="X30:X49" si="13">V30*(1+$X$19/100)</f>
        <v>206.5010961534247</v>
      </c>
      <c r="Y30" s="96"/>
      <c r="Z30" s="96"/>
      <c r="AH30" s="99">
        <v>11</v>
      </c>
      <c r="AI30" s="113" t="s">
        <v>4054</v>
      </c>
      <c r="AJ30" s="113">
        <v>-170000</v>
      </c>
      <c r="AK30" s="99">
        <v>5</v>
      </c>
      <c r="AL30" s="99">
        <f t="shared" si="9"/>
        <v>501</v>
      </c>
      <c r="AM30" s="113">
        <f t="shared" si="10"/>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456</v>
      </c>
      <c r="L31" s="117">
        <v>250000</v>
      </c>
      <c r="M31" s="189" t="s">
        <v>4453</v>
      </c>
      <c r="N31" s="113">
        <v>160313</v>
      </c>
      <c r="O31" s="69"/>
      <c r="P31" s="99" t="s">
        <v>25</v>
      </c>
      <c r="Q31" s="169">
        <v>15499033</v>
      </c>
      <c r="R31" s="213" t="s">
        <v>4738</v>
      </c>
      <c r="S31" s="197">
        <f>S30-6</f>
        <v>204</v>
      </c>
      <c r="T31" s="213" t="s">
        <v>4742</v>
      </c>
      <c r="U31" s="213">
        <v>525.1</v>
      </c>
      <c r="V31" s="213">
        <f>U31*(1+$R$104+$Q$15*S31/36500)</f>
        <v>615.25607342465753</v>
      </c>
      <c r="W31" s="32">
        <f t="shared" si="12"/>
        <v>627.56119489315074</v>
      </c>
      <c r="X31" s="32">
        <f t="shared" si="13"/>
        <v>639.86631636164384</v>
      </c>
      <c r="Y31" s="96"/>
      <c r="Z31" s="96"/>
      <c r="AH31" s="99">
        <v>12</v>
      </c>
      <c r="AI31" s="113" t="s">
        <v>1232</v>
      </c>
      <c r="AJ31" s="113">
        <v>-6300000</v>
      </c>
      <c r="AK31" s="99">
        <v>1</v>
      </c>
      <c r="AL31" s="99">
        <f>AL32+AK31</f>
        <v>496</v>
      </c>
      <c r="AM31" s="113">
        <f t="shared" si="10"/>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4406</v>
      </c>
      <c r="N32" s="113">
        <f t="shared" ref="N32:N35" si="14">O32*P32</f>
        <v>1724671.2</v>
      </c>
      <c r="O32" s="69">
        <v>2008</v>
      </c>
      <c r="P32" s="99">
        <f>P49</f>
        <v>858.9</v>
      </c>
      <c r="Q32" s="169">
        <v>30673673</v>
      </c>
      <c r="R32" s="213" t="s">
        <v>4746</v>
      </c>
      <c r="S32" s="197">
        <f>S31-1</f>
        <v>203</v>
      </c>
      <c r="T32" s="213" t="s">
        <v>4751</v>
      </c>
      <c r="U32" s="213">
        <v>529.79999999999995</v>
      </c>
      <c r="V32" s="213">
        <f>U32*(1+$R$104+$Q$15*S32/36500)</f>
        <v>620.35660931506845</v>
      </c>
      <c r="W32" s="32">
        <f t="shared" si="12"/>
        <v>632.76374150136985</v>
      </c>
      <c r="X32" s="32">
        <f t="shared" si="13"/>
        <v>645.17087368767125</v>
      </c>
      <c r="Y32" s="96"/>
      <c r="Z32" s="96"/>
      <c r="AH32" s="99">
        <v>13</v>
      </c>
      <c r="AI32" s="113" t="s">
        <v>1241</v>
      </c>
      <c r="AJ32" s="113">
        <v>-52015</v>
      </c>
      <c r="AK32" s="99">
        <v>16</v>
      </c>
      <c r="AL32" s="99">
        <f t="shared" si="9"/>
        <v>495</v>
      </c>
      <c r="AM32" s="113">
        <f t="shared" si="10"/>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4388</v>
      </c>
      <c r="N33" s="113">
        <f t="shared" si="14"/>
        <v>302150.8</v>
      </c>
      <c r="O33" s="69">
        <v>62</v>
      </c>
      <c r="P33" s="99">
        <f>P48</f>
        <v>4873.3999999999996</v>
      </c>
      <c r="Q33" s="169">
        <v>65651</v>
      </c>
      <c r="R33" s="213" t="s">
        <v>4845</v>
      </c>
      <c r="S33" s="197">
        <f>S32-21</f>
        <v>182</v>
      </c>
      <c r="T33" s="213" t="s">
        <v>5181</v>
      </c>
      <c r="U33" s="213">
        <v>587.29999999999995</v>
      </c>
      <c r="V33" s="213">
        <f>U33*(1+$R$104+$Q$15*S33/36500)</f>
        <v>678.22369424657541</v>
      </c>
      <c r="W33" s="32">
        <f t="shared" si="12"/>
        <v>691.78816813150695</v>
      </c>
      <c r="X33" s="32">
        <f t="shared" si="13"/>
        <v>705.35264201643849</v>
      </c>
      <c r="Y33" s="96"/>
      <c r="Z33" s="96"/>
      <c r="AH33" s="99">
        <v>14</v>
      </c>
      <c r="AI33" s="113" t="s">
        <v>3707</v>
      </c>
      <c r="AJ33" s="113">
        <v>20017400</v>
      </c>
      <c r="AK33" s="99">
        <v>0</v>
      </c>
      <c r="AL33" s="99">
        <f t="shared" si="9"/>
        <v>479</v>
      </c>
      <c r="AM33" s="113">
        <f t="shared" si="10"/>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5282</v>
      </c>
      <c r="N34" s="113">
        <f t="shared" si="14"/>
        <v>297107</v>
      </c>
      <c r="O34" s="69">
        <v>1493</v>
      </c>
      <c r="P34" s="99">
        <f>P53</f>
        <v>199</v>
      </c>
      <c r="Q34" s="169">
        <v>1204691</v>
      </c>
      <c r="R34" s="213" t="s">
        <v>4953</v>
      </c>
      <c r="S34" s="197">
        <f>S33-48</f>
        <v>134</v>
      </c>
      <c r="T34" s="213" t="s">
        <v>4954</v>
      </c>
      <c r="U34" s="213">
        <v>218.5</v>
      </c>
      <c r="V34" s="213">
        <f>U34*(1+$R$104+$Q$15*S34/36500)</f>
        <v>244.28180273972606</v>
      </c>
      <c r="W34" s="32">
        <f t="shared" si="12"/>
        <v>249.16743879452059</v>
      </c>
      <c r="X34" s="32">
        <f t="shared" si="13"/>
        <v>254.05307484931512</v>
      </c>
      <c r="Y34" s="96"/>
      <c r="Z34" s="96"/>
      <c r="AH34" s="99">
        <v>15</v>
      </c>
      <c r="AI34" s="113" t="s">
        <v>3707</v>
      </c>
      <c r="AJ34" s="113">
        <v>1014466</v>
      </c>
      <c r="AK34" s="99">
        <v>12</v>
      </c>
      <c r="AL34" s="99">
        <f t="shared" si="9"/>
        <v>479</v>
      </c>
      <c r="AM34" s="113">
        <f t="shared" si="10"/>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4432</v>
      </c>
      <c r="N35" s="113">
        <f t="shared" si="14"/>
        <v>115944001.60000001</v>
      </c>
      <c r="O35" s="69">
        <v>386996</v>
      </c>
      <c r="P35" s="99">
        <f>P54</f>
        <v>299.60000000000002</v>
      </c>
      <c r="Q35" s="169">
        <v>15011877</v>
      </c>
      <c r="R35" s="213" t="s">
        <v>4957</v>
      </c>
      <c r="S35" s="197">
        <f>S34-3</f>
        <v>131</v>
      </c>
      <c r="T35" s="213" t="s">
        <v>4961</v>
      </c>
      <c r="U35" s="213">
        <v>197.1</v>
      </c>
      <c r="V35" s="213">
        <f>U35*(1+$R$104+$Q$15*S35/36500)</f>
        <v>219.90312000000003</v>
      </c>
      <c r="W35" s="32">
        <f t="shared" si="12"/>
        <v>224.30118240000004</v>
      </c>
      <c r="X35" s="32">
        <f t="shared" si="13"/>
        <v>228.69924480000003</v>
      </c>
      <c r="Y35" s="96" t="s">
        <v>25</v>
      </c>
      <c r="Z35" s="96" t="s">
        <v>25</v>
      </c>
      <c r="AH35" s="99">
        <v>16</v>
      </c>
      <c r="AI35" s="113" t="s">
        <v>1143</v>
      </c>
      <c r="AJ35" s="113">
        <v>360000</v>
      </c>
      <c r="AK35" s="99">
        <v>2</v>
      </c>
      <c r="AL35" s="99">
        <f t="shared" si="9"/>
        <v>467</v>
      </c>
      <c r="AM35" s="113">
        <f t="shared" si="10"/>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c r="N36" s="113"/>
      <c r="P36" t="s">
        <v>25</v>
      </c>
      <c r="Q36" s="169">
        <v>12803120</v>
      </c>
      <c r="R36" s="213" t="s">
        <v>4970</v>
      </c>
      <c r="S36" s="197">
        <f>S35-5</f>
        <v>126</v>
      </c>
      <c r="T36" s="213" t="s">
        <v>4972</v>
      </c>
      <c r="U36" s="213">
        <v>194.4</v>
      </c>
      <c r="V36" s="213">
        <f>U36*(1+$R$104+$Q$15*S36/36500)</f>
        <v>216.14510465753429</v>
      </c>
      <c r="W36" s="32">
        <f t="shared" si="12"/>
        <v>220.46800675068499</v>
      </c>
      <c r="X36" s="32">
        <f t="shared" si="13"/>
        <v>224.79090884383567</v>
      </c>
      <c r="Y36" s="96" t="s">
        <v>25</v>
      </c>
      <c r="Z36" s="96"/>
      <c r="AH36" s="99">
        <v>17</v>
      </c>
      <c r="AI36" s="113" t="s">
        <v>3767</v>
      </c>
      <c r="AJ36" s="113">
        <v>-350000</v>
      </c>
      <c r="AK36" s="99">
        <v>0</v>
      </c>
      <c r="AL36" s="99">
        <f t="shared" si="9"/>
        <v>465</v>
      </c>
      <c r="AM36" s="113">
        <f t="shared" si="10"/>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U37*(1+$R$104+$Q$15*S37/36500)</f>
        <v>210.7105873972603</v>
      </c>
      <c r="W37" s="32">
        <f t="shared" si="12"/>
        <v>214.9247991452055</v>
      </c>
      <c r="X37" s="32">
        <f t="shared" si="13"/>
        <v>219.13901089315073</v>
      </c>
      <c r="Y37" s="96" t="s">
        <v>25</v>
      </c>
      <c r="Z37" s="96"/>
      <c r="AH37" s="99">
        <v>18</v>
      </c>
      <c r="AI37" s="113" t="s">
        <v>3767</v>
      </c>
      <c r="AJ37" s="113">
        <v>1000</v>
      </c>
      <c r="AK37" s="99">
        <v>1</v>
      </c>
      <c r="AL37" s="99">
        <f t="shared" si="9"/>
        <v>465</v>
      </c>
      <c r="AM37" s="113">
        <f t="shared" si="10"/>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918</v>
      </c>
      <c r="L38" s="117">
        <v>4800000</v>
      </c>
      <c r="M38" s="168" t="s">
        <v>4148</v>
      </c>
      <c r="N38" s="113">
        <f>-S174</f>
        <v>-766780196.15717733</v>
      </c>
      <c r="O38" s="96" t="s">
        <v>25</v>
      </c>
      <c r="P38" s="96" t="s">
        <v>25</v>
      </c>
      <c r="Q38" s="169">
        <v>198647697</v>
      </c>
      <c r="R38" s="213" t="s">
        <v>4982</v>
      </c>
      <c r="S38" s="197">
        <f>S37-2</f>
        <v>118</v>
      </c>
      <c r="T38" s="213" t="s">
        <v>5029</v>
      </c>
      <c r="U38" s="213">
        <v>195.5</v>
      </c>
      <c r="V38" s="213">
        <f>U38*(1+$R$104+$Q$15*S38/36500)</f>
        <v>216.16836712328768</v>
      </c>
      <c r="W38" s="32">
        <f t="shared" si="12"/>
        <v>220.49173446575344</v>
      </c>
      <c r="X38" s="32">
        <f t="shared" si="13"/>
        <v>224.8151018082192</v>
      </c>
      <c r="Y38" s="96" t="s">
        <v>25</v>
      </c>
      <c r="Z38" s="96"/>
      <c r="AH38" s="99">
        <v>19</v>
      </c>
      <c r="AI38" s="113" t="s">
        <v>3771</v>
      </c>
      <c r="AJ38" s="113">
        <v>33610000</v>
      </c>
      <c r="AK38" s="99">
        <v>4</v>
      </c>
      <c r="AL38" s="99">
        <f t="shared" si="9"/>
        <v>464</v>
      </c>
      <c r="AM38" s="113">
        <f t="shared" si="10"/>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U39*(1+$R$104+$Q$15*S39/36500)</f>
        <v>218.14011397260273</v>
      </c>
      <c r="W39" s="32">
        <f t="shared" si="12"/>
        <v>222.5029162520548</v>
      </c>
      <c r="X39" s="32">
        <f t="shared" si="13"/>
        <v>226.86571853150684</v>
      </c>
      <c r="Y39" s="96"/>
      <c r="Z39" s="96"/>
      <c r="AA39" s="96"/>
      <c r="AB39" s="96"/>
      <c r="AC39" s="96"/>
      <c r="AD39" s="96"/>
      <c r="AH39" s="99">
        <v>20</v>
      </c>
      <c r="AI39" s="113" t="s">
        <v>4055</v>
      </c>
      <c r="AJ39" s="113">
        <v>-15600000</v>
      </c>
      <c r="AK39" s="99">
        <v>3</v>
      </c>
      <c r="AL39" s="99">
        <f t="shared" si="9"/>
        <v>460</v>
      </c>
      <c r="AM39" s="113">
        <f t="shared" si="10"/>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1085</v>
      </c>
      <c r="L40" s="117">
        <f>'خرید و فروش سکه فیزیکی'!M48*10*P56</f>
        <v>0</v>
      </c>
      <c r="M40" s="168" t="s">
        <v>760</v>
      </c>
      <c r="N40" s="113">
        <v>1200000</v>
      </c>
      <c r="O40" t="s">
        <v>25</v>
      </c>
      <c r="P40" t="s">
        <v>25</v>
      </c>
      <c r="Q40" s="169">
        <v>499908</v>
      </c>
      <c r="R40" s="213" t="s">
        <v>5039</v>
      </c>
      <c r="S40" s="197">
        <f>S39-1</f>
        <v>96</v>
      </c>
      <c r="T40" s="213" t="s">
        <v>5044</v>
      </c>
      <c r="U40" s="213">
        <v>200</v>
      </c>
      <c r="V40" s="213">
        <f>U40*(1+$R$104+$Q$15*S40/36500)</f>
        <v>217.76876712328769</v>
      </c>
      <c r="W40" s="32">
        <f t="shared" si="12"/>
        <v>222.12414246575344</v>
      </c>
      <c r="X40" s="32">
        <f t="shared" si="13"/>
        <v>226.47951780821921</v>
      </c>
      <c r="Y40" s="96" t="s">
        <v>25</v>
      </c>
      <c r="Z40" s="96" t="s">
        <v>25</v>
      </c>
      <c r="AA40" s="96"/>
      <c r="AB40" s="96"/>
      <c r="AC40" s="96"/>
      <c r="AD40" s="96"/>
      <c r="AH40" s="99">
        <v>21</v>
      </c>
      <c r="AI40" s="113" t="s">
        <v>3785</v>
      </c>
      <c r="AJ40" s="113">
        <v>7500000</v>
      </c>
      <c r="AK40" s="99">
        <v>4</v>
      </c>
      <c r="AL40" s="99">
        <f t="shared" si="9"/>
        <v>457</v>
      </c>
      <c r="AM40" s="113">
        <f t="shared" si="10"/>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U41*(1+$R$104+$Q$15*S41/36500)</f>
        <v>219.68268821917809</v>
      </c>
      <c r="W41" s="32">
        <f t="shared" si="12"/>
        <v>224.07634198356166</v>
      </c>
      <c r="X41" s="32">
        <f t="shared" si="13"/>
        <v>228.46999574794523</v>
      </c>
      <c r="Y41" s="96"/>
      <c r="Z41" s="96"/>
      <c r="AA41" s="96"/>
      <c r="AB41" s="96"/>
      <c r="AC41" s="96"/>
      <c r="AD41" s="96"/>
      <c r="AH41" s="99">
        <v>22</v>
      </c>
      <c r="AI41" s="113" t="s">
        <v>4056</v>
      </c>
      <c r="AJ41" s="113">
        <v>-98000</v>
      </c>
      <c r="AK41" s="99">
        <v>1</v>
      </c>
      <c r="AL41" s="99">
        <f t="shared" si="9"/>
        <v>453</v>
      </c>
      <c r="AM41" s="113">
        <f t="shared" si="10"/>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c r="N42" s="113"/>
      <c r="O42" s="96"/>
      <c r="P42" s="96" t="s">
        <v>25</v>
      </c>
      <c r="Q42" s="169">
        <v>119890</v>
      </c>
      <c r="R42" s="213" t="s">
        <v>5061</v>
      </c>
      <c r="S42" s="197">
        <f>S41-6</f>
        <v>89</v>
      </c>
      <c r="T42" s="213" t="s">
        <v>5063</v>
      </c>
      <c r="U42" s="213">
        <v>210.1</v>
      </c>
      <c r="V42" s="213">
        <f>U42*(1+$R$104+$Q$15*S42/36500)</f>
        <v>227.63788164383564</v>
      </c>
      <c r="W42" s="32">
        <f t="shared" si="12"/>
        <v>232.19063927671235</v>
      </c>
      <c r="X42" s="32">
        <f t="shared" si="13"/>
        <v>236.74339690958908</v>
      </c>
      <c r="Y42" s="115" t="s">
        <v>25</v>
      </c>
      <c r="Z42" s="115"/>
      <c r="AA42" s="115"/>
      <c r="AB42" s="115"/>
      <c r="AC42" s="115"/>
      <c r="AD42" s="115"/>
      <c r="AE42" s="115"/>
      <c r="AF42" s="115"/>
      <c r="AH42" s="99">
        <v>23</v>
      </c>
      <c r="AI42" s="113" t="s">
        <v>4050</v>
      </c>
      <c r="AJ42" s="113">
        <v>-26000000</v>
      </c>
      <c r="AK42" s="99">
        <v>0</v>
      </c>
      <c r="AL42" s="99">
        <f t="shared" si="9"/>
        <v>452</v>
      </c>
      <c r="AM42" s="113">
        <f t="shared" si="10"/>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1"/>
        <v>427171871.11783922</v>
      </c>
      <c r="F43" s="3"/>
      <c r="G43" s="11"/>
      <c r="H43" s="11"/>
      <c r="K43" s="168"/>
      <c r="L43" s="117"/>
      <c r="M43" s="168" t="s">
        <v>5041</v>
      </c>
      <c r="N43" s="113">
        <v>-18000000</v>
      </c>
      <c r="O43" s="244" t="s">
        <v>25</v>
      </c>
      <c r="P43" s="114" t="s">
        <v>25</v>
      </c>
      <c r="Q43" s="169">
        <v>102858</v>
      </c>
      <c r="R43" s="213" t="s">
        <v>5080</v>
      </c>
      <c r="S43" s="197">
        <f>S42-6</f>
        <v>83</v>
      </c>
      <c r="T43" s="213" t="s">
        <v>5083</v>
      </c>
      <c r="U43" s="213">
        <v>213.3</v>
      </c>
      <c r="V43" s="213">
        <f>U43*(1+$R$104+$Q$15*S43/36500)</f>
        <v>230.12323397260278</v>
      </c>
      <c r="W43" s="32">
        <f t="shared" si="12"/>
        <v>234.72569865205483</v>
      </c>
      <c r="X43" s="32">
        <f t="shared" si="13"/>
        <v>239.32816333150689</v>
      </c>
      <c r="Y43" s="115"/>
      <c r="Z43" s="115"/>
      <c r="AA43" s="115" t="s">
        <v>25</v>
      </c>
      <c r="AB43" s="115"/>
      <c r="AC43" s="115"/>
      <c r="AD43" s="115"/>
      <c r="AE43" s="115"/>
      <c r="AF43" s="115"/>
      <c r="AH43" s="99">
        <v>24</v>
      </c>
      <c r="AI43" s="113" t="s">
        <v>4050</v>
      </c>
      <c r="AJ43" s="113">
        <v>25000000</v>
      </c>
      <c r="AK43" s="99">
        <v>1</v>
      </c>
      <c r="AL43" s="99">
        <f t="shared" si="9"/>
        <v>452</v>
      </c>
      <c r="AM43" s="113">
        <f t="shared" si="10"/>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U44*(1+$R$104+$Q$15*S44/36500)</f>
        <v>238.09147397260276</v>
      </c>
      <c r="W44" s="32">
        <f t="shared" si="12"/>
        <v>242.8533034520548</v>
      </c>
      <c r="X44" s="32">
        <f t="shared" si="13"/>
        <v>247.61513293150688</v>
      </c>
      <c r="Y44" s="115" t="s">
        <v>25</v>
      </c>
      <c r="Z44" s="115"/>
      <c r="AA44" s="115"/>
      <c r="AB44" s="115"/>
      <c r="AC44" s="115"/>
      <c r="AD44" s="115" t="s">
        <v>25</v>
      </c>
      <c r="AE44" s="115"/>
      <c r="AF44" s="115"/>
      <c r="AH44" s="99">
        <v>25</v>
      </c>
      <c r="AI44" s="113" t="s">
        <v>4051</v>
      </c>
      <c r="AJ44" s="113">
        <v>110000</v>
      </c>
      <c r="AK44" s="99">
        <v>1</v>
      </c>
      <c r="AL44" s="99">
        <f t="shared" si="9"/>
        <v>451</v>
      </c>
      <c r="AM44" s="113">
        <f t="shared" si="10"/>
        <v>49610000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c r="N45" s="113"/>
      <c r="O45" s="96"/>
      <c r="P45" s="96" t="s">
        <v>25</v>
      </c>
      <c r="Q45" s="169">
        <v>23124984</v>
      </c>
      <c r="R45" s="213" t="s">
        <v>5117</v>
      </c>
      <c r="S45" s="197">
        <f>S44-19</f>
        <v>62</v>
      </c>
      <c r="T45" s="213" t="s">
        <v>5120</v>
      </c>
      <c r="U45" s="213">
        <v>234</v>
      </c>
      <c r="V45" s="213">
        <f>U45*(1+$R$104+$Q$15*S45/36500)</f>
        <v>248.68622465753424</v>
      </c>
      <c r="W45" s="32">
        <f t="shared" si="12"/>
        <v>253.65994915068492</v>
      </c>
      <c r="X45" s="32">
        <f t="shared" si="13"/>
        <v>258.63367364383561</v>
      </c>
      <c r="Y45" s="115"/>
      <c r="Z45" s="115"/>
      <c r="AA45" s="115"/>
      <c r="AB45" s="115"/>
      <c r="AC45" s="115" t="s">
        <v>25</v>
      </c>
      <c r="AD45" s="115" t="s">
        <v>25</v>
      </c>
      <c r="AE45" s="115"/>
      <c r="AF45" s="115" t="s">
        <v>25</v>
      </c>
      <c r="AH45" s="99">
        <v>26</v>
      </c>
      <c r="AI45" s="113" t="s">
        <v>3800</v>
      </c>
      <c r="AJ45" s="113">
        <v>380000</v>
      </c>
      <c r="AK45" s="99">
        <v>7</v>
      </c>
      <c r="AL45" s="99">
        <f t="shared" si="9"/>
        <v>450</v>
      </c>
      <c r="AM45" s="113">
        <f t="shared" si="10"/>
        <v>171000000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5197</v>
      </c>
      <c r="L46" s="117">
        <v>-4428921</v>
      </c>
      <c r="M46" s="168" t="s">
        <v>4452</v>
      </c>
      <c r="N46" s="113">
        <v>8544888</v>
      </c>
      <c r="P46" t="s">
        <v>25</v>
      </c>
      <c r="Q46" s="169">
        <v>25661167</v>
      </c>
      <c r="R46" s="213" t="s">
        <v>5121</v>
      </c>
      <c r="S46" s="197">
        <f>S45-1</f>
        <v>61</v>
      </c>
      <c r="T46" s="213" t="s">
        <v>5246</v>
      </c>
      <c r="U46" s="213">
        <v>224</v>
      </c>
      <c r="V46" s="213">
        <f>U46*(1+$R$104+$Q$15*S46/36500)</f>
        <v>237.88677260273974</v>
      </c>
      <c r="W46" s="32">
        <f t="shared" si="12"/>
        <v>242.64450805479453</v>
      </c>
      <c r="X46" s="32">
        <f t="shared" si="13"/>
        <v>247.40224350684935</v>
      </c>
      <c r="Y46" s="115" t="s">
        <v>25</v>
      </c>
      <c r="Z46" s="115"/>
      <c r="AA46" s="115"/>
      <c r="AB46" s="115"/>
      <c r="AC46" s="115"/>
      <c r="AD46" s="115"/>
      <c r="AE46" s="115"/>
      <c r="AF46" s="115"/>
      <c r="AH46" s="99">
        <v>27</v>
      </c>
      <c r="AI46" s="113" t="s">
        <v>3886</v>
      </c>
      <c r="AJ46" s="113">
        <v>450000</v>
      </c>
      <c r="AK46" s="99">
        <v>6</v>
      </c>
      <c r="AL46" s="99">
        <f t="shared" si="9"/>
        <v>443</v>
      </c>
      <c r="AM46" s="113">
        <f t="shared" si="10"/>
        <v>199350000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63" t="s">
        <v>5153</v>
      </c>
      <c r="L47" s="117">
        <v>-19795000</v>
      </c>
      <c r="M47" s="168"/>
      <c r="N47" s="113"/>
      <c r="O47" s="99"/>
      <c r="P47" s="99"/>
      <c r="Q47" s="169">
        <v>196926</v>
      </c>
      <c r="R47" s="213" t="s">
        <v>5154</v>
      </c>
      <c r="S47" s="197">
        <f>S46-19</f>
        <v>42</v>
      </c>
      <c r="T47" s="213" t="s">
        <v>5155</v>
      </c>
      <c r="U47" s="213">
        <v>4083.7</v>
      </c>
      <c r="V47" s="213">
        <f>U47*(1+$R$104+$Q$15*S47/36500)</f>
        <v>4277.3456975342469</v>
      </c>
      <c r="W47" s="32">
        <f t="shared" si="12"/>
        <v>4362.8926114849319</v>
      </c>
      <c r="X47" s="32">
        <f t="shared" si="13"/>
        <v>4448.4395254356168</v>
      </c>
      <c r="Y47" s="122" t="s">
        <v>25</v>
      </c>
      <c r="Z47" s="115"/>
      <c r="AA47" s="115"/>
      <c r="AB47" s="115"/>
      <c r="AC47" s="115"/>
      <c r="AD47" s="115" t="s">
        <v>25</v>
      </c>
      <c r="AE47" s="115"/>
      <c r="AF47" s="115"/>
      <c r="AH47" s="99">
        <v>28</v>
      </c>
      <c r="AI47" s="113" t="s">
        <v>3910</v>
      </c>
      <c r="AJ47" s="113">
        <v>2800000</v>
      </c>
      <c r="AK47" s="99">
        <v>1</v>
      </c>
      <c r="AL47" s="99">
        <f t="shared" si="9"/>
        <v>437</v>
      </c>
      <c r="AM47" s="113">
        <f t="shared" si="10"/>
        <v>1223600000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36" t="s">
        <v>5138</v>
      </c>
      <c r="L48" s="117">
        <f>-31884*P54</f>
        <v>-9552446.4000000004</v>
      </c>
      <c r="M48" s="21" t="s">
        <v>4388</v>
      </c>
      <c r="N48" s="117">
        <f t="shared" ref="N48:N57" si="15">O48*P48</f>
        <v>740756.79999999993</v>
      </c>
      <c r="O48" s="69">
        <v>152</v>
      </c>
      <c r="P48" s="69">
        <v>4873.3999999999996</v>
      </c>
      <c r="Q48" s="169">
        <v>500584</v>
      </c>
      <c r="R48" s="213" t="s">
        <v>5159</v>
      </c>
      <c r="S48" s="197">
        <f>S47-1</f>
        <v>41</v>
      </c>
      <c r="T48" s="213" t="s">
        <v>5160</v>
      </c>
      <c r="U48" s="213">
        <v>4051</v>
      </c>
      <c r="V48" s="213">
        <f>U48*(1+$R$104+$Q$15*S48/36500)</f>
        <v>4239.9874739726029</v>
      </c>
      <c r="W48" s="32">
        <f t="shared" si="12"/>
        <v>4324.7872234520546</v>
      </c>
      <c r="X48" s="32">
        <f t="shared" si="13"/>
        <v>4409.5869729315073</v>
      </c>
      <c r="Y48" s="115" t="s">
        <v>25</v>
      </c>
      <c r="Z48" s="115"/>
      <c r="AA48" s="115"/>
      <c r="AB48" s="115" t="s">
        <v>25</v>
      </c>
      <c r="AC48" s="115"/>
      <c r="AD48" s="115"/>
      <c r="AE48" s="115"/>
      <c r="AF48" s="115"/>
      <c r="AH48" s="99">
        <v>29</v>
      </c>
      <c r="AI48" s="113" t="s">
        <v>3911</v>
      </c>
      <c r="AJ48" s="113">
        <v>-1500000</v>
      </c>
      <c r="AK48" s="99">
        <v>0</v>
      </c>
      <c r="AL48" s="99">
        <f t="shared" si="9"/>
        <v>436</v>
      </c>
      <c r="AM48" s="113">
        <f t="shared" si="10"/>
        <v>-654000000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4406</v>
      </c>
      <c r="N49" s="117">
        <f t="shared" si="15"/>
        <v>77797444.200000003</v>
      </c>
      <c r="O49" s="69">
        <v>90578</v>
      </c>
      <c r="P49" s="69">
        <v>858.9</v>
      </c>
      <c r="Q49" s="169">
        <v>741022</v>
      </c>
      <c r="R49" s="213" t="s">
        <v>5148</v>
      </c>
      <c r="S49" s="197">
        <f>S48-22</f>
        <v>19</v>
      </c>
      <c r="T49" s="213" t="s">
        <v>5196</v>
      </c>
      <c r="U49" s="213">
        <v>737.6</v>
      </c>
      <c r="V49" s="213">
        <f>U49*(1+$R$104+$Q$15*S49/36500)</f>
        <v>759.56229260273972</v>
      </c>
      <c r="W49" s="32">
        <f t="shared" si="12"/>
        <v>774.75353845479458</v>
      </c>
      <c r="X49" s="32">
        <f t="shared" si="13"/>
        <v>789.94478430684933</v>
      </c>
      <c r="Y49" s="122" t="s">
        <v>25</v>
      </c>
      <c r="AC49" t="s">
        <v>25</v>
      </c>
      <c r="AD49" t="s">
        <v>25</v>
      </c>
      <c r="AF49" s="115"/>
      <c r="AH49" s="99">
        <v>30</v>
      </c>
      <c r="AI49" s="113" t="s">
        <v>3911</v>
      </c>
      <c r="AJ49" s="113">
        <v>3050000</v>
      </c>
      <c r="AK49" s="99">
        <v>3</v>
      </c>
      <c r="AL49" s="99">
        <f>AL50+AK49</f>
        <v>436</v>
      </c>
      <c r="AM49" s="113">
        <f t="shared" si="10"/>
        <v>1329800000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4392</v>
      </c>
      <c r="N50" s="117">
        <f t="shared" si="15"/>
        <v>7767.5</v>
      </c>
      <c r="O50" s="69">
        <v>1</v>
      </c>
      <c r="P50" s="69">
        <v>7767.5</v>
      </c>
      <c r="Q50" s="169">
        <v>1866540</v>
      </c>
      <c r="R50" s="213" t="s">
        <v>5199</v>
      </c>
      <c r="S50" s="197">
        <f>S49-1</f>
        <v>18</v>
      </c>
      <c r="T50" s="213" t="s">
        <v>5200</v>
      </c>
      <c r="U50" s="213">
        <v>740.2</v>
      </c>
      <c r="V50" s="213">
        <f>U50*(1+$R$104+$Q$15*S50/36500)</f>
        <v>761.67188383561654</v>
      </c>
      <c r="W50" s="32">
        <f t="shared" ref="W50:W64" si="16">V50*(1+$W$19/100)</f>
        <v>776.9053215123289</v>
      </c>
      <c r="X50" s="32">
        <f t="shared" ref="X50:X64" si="17">V50*(1+$X$19/100)</f>
        <v>792.13875918904125</v>
      </c>
      <c r="Y50" t="s">
        <v>25</v>
      </c>
      <c r="AA50" s="96"/>
      <c r="AH50" s="99">
        <v>31</v>
      </c>
      <c r="AI50" s="113" t="s">
        <v>3935</v>
      </c>
      <c r="AJ50" s="113">
        <v>-8299612</v>
      </c>
      <c r="AK50" s="99">
        <v>2</v>
      </c>
      <c r="AL50" s="99">
        <f t="shared" si="9"/>
        <v>433</v>
      </c>
      <c r="AM50" s="113">
        <f t="shared" si="10"/>
        <v>-3593731996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5283</v>
      </c>
      <c r="N51" s="117">
        <f t="shared" si="15"/>
        <v>609218.5</v>
      </c>
      <c r="O51" s="69">
        <v>2155</v>
      </c>
      <c r="P51" s="69">
        <v>282.7</v>
      </c>
      <c r="Q51" s="169">
        <v>1373184</v>
      </c>
      <c r="R51" s="213" t="s">
        <v>5203</v>
      </c>
      <c r="S51" s="197">
        <f>S50-3</f>
        <v>15</v>
      </c>
      <c r="T51" s="213" t="s">
        <v>5204</v>
      </c>
      <c r="U51" s="213">
        <v>750.6</v>
      </c>
      <c r="V51" s="213">
        <f>U51*(1+$R$104+$Q$15*S51/36500)</f>
        <v>770.64616109589053</v>
      </c>
      <c r="W51" s="32">
        <f t="shared" si="16"/>
        <v>786.05908431780836</v>
      </c>
      <c r="X51" s="32">
        <f t="shared" si="17"/>
        <v>801.47200753972618</v>
      </c>
      <c r="AA51" s="96"/>
      <c r="AH51" s="99">
        <v>32</v>
      </c>
      <c r="AI51" s="113" t="s">
        <v>3930</v>
      </c>
      <c r="AJ51" s="113">
        <v>5000000</v>
      </c>
      <c r="AK51" s="99">
        <v>14</v>
      </c>
      <c r="AL51" s="99">
        <f t="shared" si="9"/>
        <v>431</v>
      </c>
      <c r="AM51" s="113">
        <f t="shared" si="10"/>
        <v>2155000000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9" t="s">
        <v>4557</v>
      </c>
      <c r="N52" s="117">
        <f t="shared" si="15"/>
        <v>100277.6</v>
      </c>
      <c r="O52" s="69">
        <v>326</v>
      </c>
      <c r="P52" s="69">
        <v>307.60000000000002</v>
      </c>
      <c r="Q52" s="169">
        <v>47710449</v>
      </c>
      <c r="R52" s="213" t="s">
        <v>5203</v>
      </c>
      <c r="S52" s="197">
        <f>S51</f>
        <v>15</v>
      </c>
      <c r="T52" s="213" t="s">
        <v>5205</v>
      </c>
      <c r="U52" s="213">
        <v>4317.3</v>
      </c>
      <c r="V52" s="213">
        <f>U52*(1+$R$104+$Q$15*S52/36500)</f>
        <v>4432.6014805479463</v>
      </c>
      <c r="W52" s="32">
        <f t="shared" si="16"/>
        <v>4521.2535101589056</v>
      </c>
      <c r="X52" s="32">
        <f t="shared" si="17"/>
        <v>4609.9055397698639</v>
      </c>
      <c r="Y52" t="s">
        <v>25</v>
      </c>
      <c r="AA52" s="96"/>
      <c r="AH52" s="99">
        <v>33</v>
      </c>
      <c r="AI52" s="113" t="s">
        <v>989</v>
      </c>
      <c r="AJ52" s="113">
        <v>-90000</v>
      </c>
      <c r="AK52" s="99">
        <v>1</v>
      </c>
      <c r="AL52" s="99">
        <f t="shared" si="9"/>
        <v>417</v>
      </c>
      <c r="AM52" s="113">
        <f t="shared" si="10"/>
        <v>-37530000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9" t="s">
        <v>5282</v>
      </c>
      <c r="N53" s="117">
        <f t="shared" si="15"/>
        <v>297107</v>
      </c>
      <c r="O53" s="69">
        <v>1493</v>
      </c>
      <c r="P53" s="69">
        <v>199</v>
      </c>
      <c r="Q53" s="169">
        <v>1915984</v>
      </c>
      <c r="R53" s="213" t="s">
        <v>5206</v>
      </c>
      <c r="S53" s="197">
        <f>S52-1</f>
        <v>14</v>
      </c>
      <c r="T53" s="213" t="s">
        <v>5272</v>
      </c>
      <c r="U53" s="213">
        <v>4295.3999999999996</v>
      </c>
      <c r="V53" s="213">
        <f>U53*(1+$R$104+$Q$15*S53/36500)</f>
        <v>4406.8214991780824</v>
      </c>
      <c r="W53" s="32">
        <f t="shared" si="16"/>
        <v>4494.9579291616437</v>
      </c>
      <c r="X53" s="32">
        <f t="shared" si="17"/>
        <v>4583.094359145206</v>
      </c>
      <c r="Y53" t="s">
        <v>25</v>
      </c>
      <c r="Z53" t="s">
        <v>25</v>
      </c>
      <c r="AH53" s="99">
        <v>34</v>
      </c>
      <c r="AI53" s="113" t="s">
        <v>4052</v>
      </c>
      <c r="AJ53" s="113">
        <v>5600000</v>
      </c>
      <c r="AK53" s="99">
        <v>4</v>
      </c>
      <c r="AL53" s="99">
        <f t="shared" si="9"/>
        <v>416</v>
      </c>
      <c r="AM53" s="113">
        <f t="shared" si="10"/>
        <v>2329600000</v>
      </c>
      <c r="AN53" s="99"/>
    </row>
    <row r="54" spans="1:45">
      <c r="A54" s="63">
        <v>1400</v>
      </c>
      <c r="B54" s="11">
        <v>52</v>
      </c>
      <c r="C54" s="49">
        <f t="shared" si="4"/>
        <v>5380547.1560366414</v>
      </c>
      <c r="D54" s="3">
        <f t="shared" si="5"/>
        <v>4370773.2377119577</v>
      </c>
      <c r="E54" s="3">
        <f t="shared" si="11"/>
        <v>542808580.73450804</v>
      </c>
      <c r="F54" s="3"/>
      <c r="G54" s="11"/>
      <c r="H54" s="11"/>
      <c r="K54" s="263" t="s">
        <v>5289</v>
      </c>
      <c r="L54" s="117">
        <f>138558*P54</f>
        <v>41511976.800000004</v>
      </c>
      <c r="M54" s="19" t="s">
        <v>4178</v>
      </c>
      <c r="N54" s="113">
        <f t="shared" si="15"/>
        <v>906558142.00000012</v>
      </c>
      <c r="O54" s="99">
        <v>3025895</v>
      </c>
      <c r="P54" s="99">
        <v>299.60000000000002</v>
      </c>
      <c r="Q54" s="169">
        <v>4660</v>
      </c>
      <c r="R54" s="213" t="s">
        <v>5211</v>
      </c>
      <c r="S54" s="197">
        <f>S53-1</f>
        <v>13</v>
      </c>
      <c r="T54" s="213" t="s">
        <v>5212</v>
      </c>
      <c r="U54" s="213">
        <v>773.1</v>
      </c>
      <c r="V54" s="213">
        <f>U54*(1+$R$104+$Q$15*S54/36500)</f>
        <v>792.56093917808232</v>
      </c>
      <c r="W54" s="32">
        <f t="shared" si="16"/>
        <v>808.41215796164397</v>
      </c>
      <c r="X54" s="32">
        <f t="shared" si="17"/>
        <v>824.26337674520562</v>
      </c>
      <c r="Y54" t="s">
        <v>25</v>
      </c>
      <c r="AH54" s="99">
        <v>35</v>
      </c>
      <c r="AI54" s="113" t="s">
        <v>3980</v>
      </c>
      <c r="AJ54" s="113">
        <v>750000</v>
      </c>
      <c r="AK54" s="99">
        <v>2</v>
      </c>
      <c r="AL54" s="99">
        <f t="shared" si="9"/>
        <v>412</v>
      </c>
      <c r="AM54" s="113">
        <f t="shared" si="10"/>
        <v>309000000</v>
      </c>
      <c r="AN54" s="99"/>
    </row>
    <row r="55" spans="1:45">
      <c r="A55" s="63">
        <v>1400</v>
      </c>
      <c r="B55" s="11">
        <v>53</v>
      </c>
      <c r="C55" s="49">
        <f t="shared" si="4"/>
        <v>5434352.6275970079</v>
      </c>
      <c r="D55" s="3">
        <f t="shared" si="5"/>
        <v>4414480.970089077</v>
      </c>
      <c r="E55" s="3">
        <f t="shared" si="11"/>
        <v>554684624.00670612</v>
      </c>
      <c r="F55" s="3"/>
      <c r="G55" s="11"/>
      <c r="H55" s="11"/>
      <c r="K55" s="263"/>
      <c r="L55" s="117"/>
      <c r="M55" s="19" t="s">
        <v>5236</v>
      </c>
      <c r="N55" s="113">
        <f t="shared" si="15"/>
        <v>1083555</v>
      </c>
      <c r="O55" s="99">
        <v>363</v>
      </c>
      <c r="P55" s="99">
        <v>2985</v>
      </c>
      <c r="Q55" s="169">
        <v>545132</v>
      </c>
      <c r="R55" s="213" t="s">
        <v>5213</v>
      </c>
      <c r="S55" s="197">
        <f>S54-1</f>
        <v>12</v>
      </c>
      <c r="T55" s="213" t="s">
        <v>5214</v>
      </c>
      <c r="U55" s="213">
        <v>778.5</v>
      </c>
      <c r="V55" s="213">
        <f>U55*(1+$R$104+$Q$15*S55/36500)</f>
        <v>797.49966575342478</v>
      </c>
      <c r="W55" s="32">
        <f t="shared" si="16"/>
        <v>813.44965906849325</v>
      </c>
      <c r="X55" s="32">
        <f t="shared" si="17"/>
        <v>829.39965238356183</v>
      </c>
      <c r="Y55" t="s">
        <v>25</v>
      </c>
      <c r="Z55" t="s">
        <v>25</v>
      </c>
      <c r="AH55" s="171">
        <v>36</v>
      </c>
      <c r="AI55" s="170" t="s">
        <v>3990</v>
      </c>
      <c r="AJ55" s="170">
        <v>-4242000</v>
      </c>
      <c r="AK55" s="171">
        <v>2</v>
      </c>
      <c r="AL55" s="171">
        <f t="shared" si="9"/>
        <v>410</v>
      </c>
      <c r="AM55" s="170">
        <f t="shared" si="10"/>
        <v>-1739220000</v>
      </c>
      <c r="AN55" s="171" t="s">
        <v>4061</v>
      </c>
    </row>
    <row r="56" spans="1:45">
      <c r="A56" s="63">
        <v>1400</v>
      </c>
      <c r="B56" s="11">
        <v>54</v>
      </c>
      <c r="C56" s="49">
        <f t="shared" si="4"/>
        <v>5488696.1538729779</v>
      </c>
      <c r="D56" s="3">
        <f t="shared" si="5"/>
        <v>4458625.7797899675</v>
      </c>
      <c r="E56" s="3">
        <f t="shared" si="11"/>
        <v>566808386.86092329</v>
      </c>
      <c r="F56" s="3"/>
      <c r="G56" s="11"/>
      <c r="H56" s="11"/>
      <c r="K56" s="99"/>
      <c r="L56" s="117"/>
      <c r="M56" s="21" t="s">
        <v>1085</v>
      </c>
      <c r="N56" s="117">
        <f t="shared" si="15"/>
        <v>0</v>
      </c>
      <c r="O56" s="69">
        <v>0</v>
      </c>
      <c r="P56" s="69">
        <v>400000</v>
      </c>
      <c r="Q56" s="169">
        <v>12493590</v>
      </c>
      <c r="R56" s="213" t="s">
        <v>5231</v>
      </c>
      <c r="S56" s="197">
        <f>S55-5</f>
        <v>7</v>
      </c>
      <c r="T56" s="213" t="s">
        <v>5237</v>
      </c>
      <c r="U56" s="213">
        <v>4159331</v>
      </c>
      <c r="V56" s="213">
        <f>U56*(1+$R$104+$Q$15*S56/36500)</f>
        <v>4244887.8688986311</v>
      </c>
      <c r="W56" s="32">
        <f t="shared" si="16"/>
        <v>4329785.6262766039</v>
      </c>
      <c r="X56" s="32">
        <f t="shared" si="17"/>
        <v>4414683.3836545767</v>
      </c>
      <c r="Y56" s="96" t="s">
        <v>25</v>
      </c>
      <c r="AH56" s="99">
        <v>37</v>
      </c>
      <c r="AI56" s="113" t="s">
        <v>3990</v>
      </c>
      <c r="AJ56" s="113">
        <v>4100000</v>
      </c>
      <c r="AK56" s="99">
        <v>0</v>
      </c>
      <c r="AL56" s="99">
        <f t="shared" si="9"/>
        <v>408</v>
      </c>
      <c r="AM56" s="113">
        <f t="shared" si="10"/>
        <v>1672800000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73" t="s">
        <v>5235</v>
      </c>
      <c r="N57" s="117">
        <f t="shared" si="15"/>
        <v>0</v>
      </c>
      <c r="O57" s="74">
        <v>0</v>
      </c>
      <c r="P57" s="74">
        <v>11200</v>
      </c>
      <c r="Q57" s="169">
        <v>1562795</v>
      </c>
      <c r="R57" s="213" t="s">
        <v>5231</v>
      </c>
      <c r="S57" s="197">
        <f>S56</f>
        <v>7</v>
      </c>
      <c r="T57" s="213" t="s">
        <v>5238</v>
      </c>
      <c r="U57" s="213">
        <v>3122</v>
      </c>
      <c r="V57" s="213">
        <f>U57*(1+$R$104+$Q$15*S57/36500)</f>
        <v>3186.2191123287676</v>
      </c>
      <c r="W57" s="32">
        <f t="shared" si="16"/>
        <v>3249.9434945753428</v>
      </c>
      <c r="X57" s="32">
        <f t="shared" si="17"/>
        <v>3313.6678768219185</v>
      </c>
      <c r="Y57" t="s">
        <v>25</v>
      </c>
      <c r="AH57" s="99">
        <v>38</v>
      </c>
      <c r="AI57" s="113" t="s">
        <v>3996</v>
      </c>
      <c r="AJ57" s="113">
        <v>4100000</v>
      </c>
      <c r="AK57" s="99">
        <v>1</v>
      </c>
      <c r="AL57" s="99">
        <f t="shared" si="9"/>
        <v>408</v>
      </c>
      <c r="AM57" s="113">
        <f t="shared" si="10"/>
        <v>1672800000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t="s">
        <v>1151</v>
      </c>
      <c r="N58" s="117">
        <v>14908</v>
      </c>
      <c r="O58" s="96" t="s">
        <v>25</v>
      </c>
      <c r="P58" t="s">
        <v>25</v>
      </c>
      <c r="Q58" s="169">
        <v>179841</v>
      </c>
      <c r="R58" s="213" t="s">
        <v>5233</v>
      </c>
      <c r="S58" s="197">
        <f>S57-3</f>
        <v>4</v>
      </c>
      <c r="T58" s="213" t="s">
        <v>5239</v>
      </c>
      <c r="U58" s="213">
        <v>791.2</v>
      </c>
      <c r="V58" s="213">
        <f>U58*(1+$R$104+$Q$15*S58/36500)</f>
        <v>805.65403178082215</v>
      </c>
      <c r="W58" s="32">
        <f t="shared" si="16"/>
        <v>821.76711241643864</v>
      </c>
      <c r="X58" s="32">
        <f t="shared" si="17"/>
        <v>837.88019305205512</v>
      </c>
      <c r="Y58" t="s">
        <v>25</v>
      </c>
      <c r="AH58" s="99">
        <v>39</v>
      </c>
      <c r="AI58" s="113" t="s">
        <v>4005</v>
      </c>
      <c r="AJ58" s="113">
        <v>790000</v>
      </c>
      <c r="AK58" s="99">
        <v>15</v>
      </c>
      <c r="AL58" s="99">
        <f t="shared" si="9"/>
        <v>407</v>
      </c>
      <c r="AM58" s="113">
        <f t="shared" si="10"/>
        <v>321530000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t="s">
        <v>1152</v>
      </c>
      <c r="N59" s="117">
        <v>5282</v>
      </c>
      <c r="O59" s="96" t="s">
        <v>25</v>
      </c>
      <c r="P59" t="s">
        <v>25</v>
      </c>
      <c r="Q59" s="169">
        <v>2889559</v>
      </c>
      <c r="R59" s="213" t="s">
        <v>5166</v>
      </c>
      <c r="S59" s="197">
        <f>S58-3</f>
        <v>1</v>
      </c>
      <c r="T59" s="213" t="s">
        <v>5245</v>
      </c>
      <c r="U59" s="213">
        <v>782.4</v>
      </c>
      <c r="V59" s="213">
        <f>U59*(1+$R$104+$Q$15*S59/36500)</f>
        <v>794.89267726027401</v>
      </c>
      <c r="W59" s="32">
        <f t="shared" si="16"/>
        <v>810.79053080547953</v>
      </c>
      <c r="X59" s="32">
        <f t="shared" si="17"/>
        <v>826.68838435068506</v>
      </c>
      <c r="Y59" t="s">
        <v>25</v>
      </c>
      <c r="Z59" s="96"/>
      <c r="AA59" s="96"/>
      <c r="AB59" s="96"/>
      <c r="AC59" s="96"/>
      <c r="AH59" s="171">
        <v>40</v>
      </c>
      <c r="AI59" s="170" t="s">
        <v>4036</v>
      </c>
      <c r="AJ59" s="170">
        <v>-3865000</v>
      </c>
      <c r="AK59" s="171">
        <v>6</v>
      </c>
      <c r="AL59" s="171">
        <f t="shared" si="9"/>
        <v>392</v>
      </c>
      <c r="AM59" s="172">
        <f t="shared" si="10"/>
        <v>-1515080000</v>
      </c>
      <c r="AN59" s="171" t="s">
        <v>4062</v>
      </c>
    </row>
    <row r="60" spans="1:45">
      <c r="A60" s="63">
        <v>1400</v>
      </c>
      <c r="B60" s="11">
        <v>58</v>
      </c>
      <c r="C60" s="3">
        <f t="shared" si="4"/>
        <v>5711559.227391799</v>
      </c>
      <c r="D60" s="3">
        <f t="shared" si="5"/>
        <v>4639663.8655388169</v>
      </c>
      <c r="E60" s="3">
        <f t="shared" si="11"/>
        <v>617883306.24587286</v>
      </c>
      <c r="F60" s="3"/>
      <c r="G60" s="11"/>
      <c r="H60" s="11"/>
      <c r="K60" s="99"/>
      <c r="L60" s="117"/>
      <c r="M60" s="168"/>
      <c r="N60" s="113"/>
      <c r="O60" s="115"/>
      <c r="P60" s="115"/>
      <c r="Q60" s="169">
        <v>1773978</v>
      </c>
      <c r="R60" s="213" t="s">
        <v>5248</v>
      </c>
      <c r="S60" s="197">
        <f>S59-1</f>
        <v>0</v>
      </c>
      <c r="T60" s="213" t="s">
        <v>5250</v>
      </c>
      <c r="U60" s="213">
        <v>766.4</v>
      </c>
      <c r="V60" s="213">
        <f>U60*(1+$R$104+$Q$15*S60/36500)</f>
        <v>778.04928000000007</v>
      </c>
      <c r="W60" s="32">
        <f t="shared" si="16"/>
        <v>793.61026560000005</v>
      </c>
      <c r="X60" s="32">
        <f t="shared" si="17"/>
        <v>809.17125120000014</v>
      </c>
      <c r="Y60" t="s">
        <v>25</v>
      </c>
      <c r="Z60" s="96" t="s">
        <v>25</v>
      </c>
      <c r="AA60" s="96"/>
      <c r="AB60" s="96"/>
      <c r="AC60" s="96"/>
      <c r="AH60" s="20">
        <v>41</v>
      </c>
      <c r="AI60" s="117" t="s">
        <v>4066</v>
      </c>
      <c r="AJ60" s="117">
        <v>18800000</v>
      </c>
      <c r="AK60" s="20">
        <v>3</v>
      </c>
      <c r="AL60" s="99">
        <f t="shared" si="9"/>
        <v>386</v>
      </c>
      <c r="AM60" s="113">
        <f t="shared" si="10"/>
        <v>7256800000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O61" s="99"/>
      <c r="P61" s="99"/>
      <c r="Q61" s="169">
        <v>4937080</v>
      </c>
      <c r="R61" s="213" t="s">
        <v>5248</v>
      </c>
      <c r="S61" s="197">
        <f>S60</f>
        <v>0</v>
      </c>
      <c r="T61" s="213" t="s">
        <v>5251</v>
      </c>
      <c r="U61" s="213">
        <v>289.10000000000002</v>
      </c>
      <c r="V61" s="213">
        <f>U61*(1+$R$104+$Q$15*S61/36500)</f>
        <v>293.49432000000007</v>
      </c>
      <c r="W61" s="32">
        <f t="shared" si="16"/>
        <v>299.36420640000006</v>
      </c>
      <c r="X61" s="32">
        <f t="shared" si="17"/>
        <v>305.2340928000001</v>
      </c>
      <c r="Y61" t="s">
        <v>25</v>
      </c>
      <c r="Z61" s="96"/>
      <c r="AA61" s="96"/>
      <c r="AB61" s="96"/>
      <c r="AC61" s="96"/>
      <c r="AH61" s="20">
        <v>42</v>
      </c>
      <c r="AI61" s="117" t="s">
        <v>4083</v>
      </c>
      <c r="AJ61" s="117">
        <v>500000</v>
      </c>
      <c r="AK61" s="20">
        <v>1</v>
      </c>
      <c r="AL61" s="99">
        <f t="shared" si="9"/>
        <v>383</v>
      </c>
      <c r="AM61" s="113">
        <f t="shared" si="10"/>
        <v>191500000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Q62" s="169">
        <v>4029844</v>
      </c>
      <c r="R62" s="213" t="s">
        <v>5260</v>
      </c>
      <c r="S62" s="197">
        <f>S61-6</f>
        <v>-6</v>
      </c>
      <c r="T62" s="213" t="s">
        <v>5262</v>
      </c>
      <c r="U62" s="213">
        <v>275.10000000000002</v>
      </c>
      <c r="V62" s="213">
        <f>U62*(1+$R$104+$Q$15*S62/36500)</f>
        <v>278.01530630136995</v>
      </c>
      <c r="W62" s="32">
        <f t="shared" si="16"/>
        <v>283.57561242739735</v>
      </c>
      <c r="X62" s="32">
        <f t="shared" si="17"/>
        <v>289.13591855342474</v>
      </c>
      <c r="Y62" t="s">
        <v>25</v>
      </c>
      <c r="Z62" s="96"/>
      <c r="AA62" s="96"/>
      <c r="AB62" s="96"/>
      <c r="AC62" s="96"/>
      <c r="AH62" s="20">
        <v>43</v>
      </c>
      <c r="AI62" s="117" t="s">
        <v>4087</v>
      </c>
      <c r="AJ62" s="117">
        <v>200000</v>
      </c>
      <c r="AK62" s="20">
        <v>3</v>
      </c>
      <c r="AL62" s="99">
        <f>AL63+AK62</f>
        <v>382</v>
      </c>
      <c r="AM62" s="113">
        <f t="shared" si="10"/>
        <v>76400000</v>
      </c>
      <c r="AN62" s="20"/>
    </row>
    <row r="63" spans="1:45">
      <c r="E63" s="26"/>
      <c r="K63" s="168"/>
      <c r="L63" s="117"/>
      <c r="M63" s="168"/>
      <c r="N63" s="113"/>
      <c r="O63" t="s">
        <v>25</v>
      </c>
      <c r="Q63" s="169">
        <v>716284</v>
      </c>
      <c r="R63" s="213" t="s">
        <v>5265</v>
      </c>
      <c r="S63" s="197">
        <f>S62-1</f>
        <v>-7</v>
      </c>
      <c r="T63" s="213" t="s">
        <v>5267</v>
      </c>
      <c r="U63" s="213">
        <v>275.60000000000002</v>
      </c>
      <c r="V63" s="213">
        <f>U63*(1+$R$104+$Q$15*S63/36500)</f>
        <v>278.30918575342469</v>
      </c>
      <c r="W63" s="32">
        <f t="shared" si="16"/>
        <v>283.8753694684932</v>
      </c>
      <c r="X63" s="32">
        <f t="shared" si="17"/>
        <v>289.44155318356167</v>
      </c>
      <c r="Y63" t="s">
        <v>25</v>
      </c>
      <c r="Z63" s="96"/>
      <c r="AA63" s="96"/>
      <c r="AB63" s="96"/>
      <c r="AC63" s="96"/>
      <c r="AH63" s="20">
        <v>44</v>
      </c>
      <c r="AI63" s="117" t="s">
        <v>4094</v>
      </c>
      <c r="AJ63" s="117">
        <v>1000000</v>
      </c>
      <c r="AK63" s="20">
        <v>3</v>
      </c>
      <c r="AL63" s="99">
        <f t="shared" si="9"/>
        <v>379</v>
      </c>
      <c r="AM63" s="113">
        <f t="shared" si="10"/>
        <v>379000000</v>
      </c>
      <c r="AN63" s="20"/>
    </row>
    <row r="64" spans="1:45">
      <c r="E64" s="26"/>
      <c r="K64" s="168"/>
      <c r="L64" s="117"/>
      <c r="M64" s="168" t="s">
        <v>4439</v>
      </c>
      <c r="N64" s="113">
        <f>-S175</f>
        <v>-25358433.592875373</v>
      </c>
      <c r="Q64" s="169">
        <v>750125</v>
      </c>
      <c r="R64" s="213" t="s">
        <v>5270</v>
      </c>
      <c r="S64" s="197">
        <f>S63-1</f>
        <v>-8</v>
      </c>
      <c r="T64" s="213" t="s">
        <v>5273</v>
      </c>
      <c r="U64" s="213">
        <v>2997</v>
      </c>
      <c r="V64" s="213">
        <f>U64*(1+$R$104+$Q$15*S64/36500)</f>
        <v>3024.161852054795</v>
      </c>
      <c r="W64" s="32">
        <f t="shared" si="16"/>
        <v>3084.6450890958909</v>
      </c>
      <c r="X64" s="32">
        <f t="shared" si="17"/>
        <v>3145.1283261369867</v>
      </c>
      <c r="Y64" t="s">
        <v>25</v>
      </c>
      <c r="Z64" s="96"/>
      <c r="AA64" s="96"/>
      <c r="AB64" s="96"/>
      <c r="AC64" s="96"/>
      <c r="AH64" s="20">
        <v>45</v>
      </c>
      <c r="AI64" s="117" t="s">
        <v>4106</v>
      </c>
      <c r="AJ64" s="117">
        <v>1300000</v>
      </c>
      <c r="AK64" s="20">
        <v>0</v>
      </c>
      <c r="AL64" s="99">
        <f>AL65+AK64</f>
        <v>376</v>
      </c>
      <c r="AM64" s="113">
        <f t="shared" si="10"/>
        <v>488800000</v>
      </c>
      <c r="AN64" s="20"/>
    </row>
    <row r="65" spans="1:40">
      <c r="K65" s="168"/>
      <c r="L65" s="117"/>
      <c r="M65" s="168"/>
      <c r="N65" s="113"/>
      <c r="P65" t="s">
        <v>25</v>
      </c>
      <c r="Q65" s="169"/>
      <c r="R65" s="213" t="s">
        <v>5274</v>
      </c>
      <c r="S65" s="197">
        <f>S64-1</f>
        <v>-9</v>
      </c>
      <c r="T65" s="213" t="s">
        <v>5275</v>
      </c>
      <c r="U65" s="213"/>
      <c r="V65" s="213">
        <f>U65*(1+$R$104+$Q$15*S65/36500)</f>
        <v>0</v>
      </c>
      <c r="W65" s="32">
        <f t="shared" ref="W65:W68" si="18">V65*(1+$W$19/100)</f>
        <v>0</v>
      </c>
      <c r="X65" s="32">
        <f t="shared" ref="X65:X68" si="19">V65*(1+$X$19/100)</f>
        <v>0</v>
      </c>
      <c r="Y65" t="s">
        <v>25</v>
      </c>
      <c r="Z65" s="96" t="s">
        <v>25</v>
      </c>
      <c r="AA65" s="96"/>
      <c r="AB65" s="96"/>
      <c r="AC65" s="96"/>
      <c r="AH65" s="20">
        <v>45</v>
      </c>
      <c r="AI65" s="117" t="s">
        <v>4106</v>
      </c>
      <c r="AJ65" s="117">
        <v>995000</v>
      </c>
      <c r="AK65" s="20">
        <v>2</v>
      </c>
      <c r="AL65" s="99">
        <f t="shared" ref="AL65:AL92" si="20">AL66+AK65</f>
        <v>376</v>
      </c>
      <c r="AM65" s="113">
        <f t="shared" si="10"/>
        <v>374120000</v>
      </c>
      <c r="AN65" s="20"/>
    </row>
    <row r="66" spans="1:40">
      <c r="K66" s="168"/>
      <c r="L66" s="117"/>
      <c r="M66" s="168"/>
      <c r="N66" s="113"/>
      <c r="O66" t="s">
        <v>25</v>
      </c>
      <c r="P66" t="s">
        <v>25</v>
      </c>
      <c r="Q66" s="169">
        <v>298455</v>
      </c>
      <c r="R66" s="213" t="s">
        <v>5281</v>
      </c>
      <c r="S66" s="197">
        <f>S65-1</f>
        <v>-10</v>
      </c>
      <c r="T66" s="213" t="s">
        <v>5290</v>
      </c>
      <c r="U66" s="213">
        <v>199</v>
      </c>
      <c r="V66" s="213">
        <f>U66*(1+$R$104+$Q$15*S66/36500)</f>
        <v>200.49822465753425</v>
      </c>
      <c r="W66" s="32">
        <f t="shared" si="18"/>
        <v>204.50818915068493</v>
      </c>
      <c r="X66" s="32">
        <f t="shared" si="19"/>
        <v>208.51815364383563</v>
      </c>
      <c r="Y66" t="s">
        <v>25</v>
      </c>
      <c r="Z66" s="96"/>
      <c r="AA66" s="96"/>
      <c r="AB66" s="96"/>
      <c r="AC66" s="96"/>
      <c r="AH66" s="20">
        <v>46</v>
      </c>
      <c r="AI66" s="117" t="s">
        <v>4116</v>
      </c>
      <c r="AJ66" s="117">
        <v>13000000</v>
      </c>
      <c r="AK66" s="20">
        <v>2</v>
      </c>
      <c r="AL66" s="99">
        <f t="shared" si="20"/>
        <v>374</v>
      </c>
      <c r="AM66" s="113">
        <f t="shared" si="10"/>
        <v>4862000000</v>
      </c>
      <c r="AN66" s="20"/>
    </row>
    <row r="67" spans="1:40">
      <c r="A67" t="s">
        <v>25</v>
      </c>
      <c r="F67" t="s">
        <v>310</v>
      </c>
      <c r="G67" t="s">
        <v>4098</v>
      </c>
      <c r="K67" s="168" t="s">
        <v>598</v>
      </c>
      <c r="L67" s="113">
        <f>SUM(L16:L49)</f>
        <v>668748584.75717735</v>
      </c>
      <c r="M67" s="168"/>
      <c r="N67" s="113">
        <f>SUM(N16:N66)</f>
        <v>890557947.44994748</v>
      </c>
      <c r="Q67" s="169"/>
      <c r="R67" s="213"/>
      <c r="S67" s="197"/>
      <c r="T67" s="213"/>
      <c r="U67" s="213"/>
      <c r="V67" s="213">
        <f>U67*(1+$R$104+$Q$15*S67/36500)</f>
        <v>0</v>
      </c>
      <c r="W67" s="32">
        <f t="shared" si="18"/>
        <v>0</v>
      </c>
      <c r="X67" s="32">
        <f t="shared" si="19"/>
        <v>0</v>
      </c>
      <c r="Y67" t="s">
        <v>25</v>
      </c>
      <c r="Z67" s="96"/>
      <c r="AA67" s="96"/>
      <c r="AB67" s="96"/>
      <c r="AC67" s="96"/>
      <c r="AH67" s="20">
        <v>47</v>
      </c>
      <c r="AI67" s="117" t="s">
        <v>4129</v>
      </c>
      <c r="AJ67" s="117">
        <v>-3100000</v>
      </c>
      <c r="AK67" s="20">
        <v>3</v>
      </c>
      <c r="AL67" s="99">
        <f t="shared" si="20"/>
        <v>372</v>
      </c>
      <c r="AM67" s="113">
        <f t="shared" si="10"/>
        <v>-1153200000</v>
      </c>
      <c r="AN67" s="20"/>
    </row>
    <row r="68" spans="1:40">
      <c r="F68" t="s">
        <v>4102</v>
      </c>
      <c r="G68" t="s">
        <v>4097</v>
      </c>
      <c r="K68" s="168" t="s">
        <v>599</v>
      </c>
      <c r="L68" s="113">
        <f>L16+L17+L31</f>
        <v>1050665</v>
      </c>
      <c r="M68" s="168"/>
      <c r="N68" s="113">
        <f>N16+N17+N39</f>
        <v>641053</v>
      </c>
      <c r="Q68" s="169" t="s">
        <v>25</v>
      </c>
      <c r="R68" s="168" t="s">
        <v>25</v>
      </c>
      <c r="S68" s="168"/>
      <c r="T68" s="168"/>
      <c r="U68" s="168"/>
      <c r="V68" s="213">
        <f>U68*(1+$R$104+$Q$15*S68/36500)</f>
        <v>0</v>
      </c>
      <c r="W68" s="32">
        <f t="shared" si="18"/>
        <v>0</v>
      </c>
      <c r="X68" s="32">
        <f t="shared" si="19"/>
        <v>0</v>
      </c>
      <c r="Y68" t="s">
        <v>25</v>
      </c>
      <c r="Z68" s="96"/>
      <c r="AA68" s="96"/>
      <c r="AB68" s="96"/>
      <c r="AC68" s="96"/>
      <c r="AH68" s="20">
        <v>48</v>
      </c>
      <c r="AI68" s="117" t="s">
        <v>4144</v>
      </c>
      <c r="AJ68" s="117">
        <v>45640000</v>
      </c>
      <c r="AK68" s="20">
        <v>1</v>
      </c>
      <c r="AL68" s="99">
        <f t="shared" si="20"/>
        <v>369</v>
      </c>
      <c r="AM68" s="113">
        <f t="shared" si="10"/>
        <v>16841160000</v>
      </c>
      <c r="AN68" s="20"/>
    </row>
    <row r="69" spans="1:40">
      <c r="F69" t="s">
        <v>4103</v>
      </c>
      <c r="G69" t="s">
        <v>4099</v>
      </c>
      <c r="K69" s="56" t="s">
        <v>716</v>
      </c>
      <c r="L69" s="1">
        <f>L67+N7</f>
        <v>768748584.75717735</v>
      </c>
      <c r="M69" s="113"/>
      <c r="N69" s="168"/>
      <c r="O69" s="115"/>
      <c r="P69" s="115"/>
      <c r="Q69" s="169">
        <f>SUM(N21:N29)-SUM(Q20:Q68)</f>
        <v>155747346</v>
      </c>
      <c r="R69" s="168"/>
      <c r="S69" s="168" t="s">
        <v>25</v>
      </c>
      <c r="T69" s="168"/>
      <c r="U69" s="168"/>
      <c r="V69" s="168"/>
      <c r="W69" s="32"/>
      <c r="X69" s="32"/>
      <c r="Y69" s="122" t="s">
        <v>25</v>
      </c>
      <c r="Z69" s="96"/>
      <c r="AA69" s="96"/>
      <c r="AB69" s="96"/>
      <c r="AC69" s="96"/>
      <c r="AH69" s="20">
        <v>49</v>
      </c>
      <c r="AI69" s="117" t="s">
        <v>4150</v>
      </c>
      <c r="AJ69" s="117">
        <v>33500000</v>
      </c>
      <c r="AK69" s="20">
        <v>1</v>
      </c>
      <c r="AL69" s="99">
        <f t="shared" si="20"/>
        <v>368</v>
      </c>
      <c r="AM69" s="113">
        <f t="shared" si="10"/>
        <v>12328000000</v>
      </c>
      <c r="AN69" s="20"/>
    </row>
    <row r="70" spans="1:40">
      <c r="G70" t="s">
        <v>4100</v>
      </c>
      <c r="O70" s="96"/>
      <c r="P70" s="96"/>
      <c r="R70" s="115" t="s">
        <v>25</v>
      </c>
      <c r="S70" s="115" t="s">
        <v>25</v>
      </c>
      <c r="T70" s="122" t="s">
        <v>25</v>
      </c>
      <c r="U70" s="115" t="s">
        <v>25</v>
      </c>
      <c r="V70" s="115" t="s">
        <v>25</v>
      </c>
      <c r="W70" s="194" t="s">
        <v>25</v>
      </c>
      <c r="X70" s="194"/>
      <c r="AH70" s="20">
        <v>50</v>
      </c>
      <c r="AI70" s="117" t="s">
        <v>4155</v>
      </c>
      <c r="AJ70" s="117">
        <v>12000000</v>
      </c>
      <c r="AK70" s="20">
        <v>1</v>
      </c>
      <c r="AL70" s="99">
        <f t="shared" si="20"/>
        <v>367</v>
      </c>
      <c r="AM70" s="117">
        <f t="shared" si="10"/>
        <v>4404000000</v>
      </c>
      <c r="AN70" s="20"/>
    </row>
    <row r="71" spans="1:40">
      <c r="G71" t="s">
        <v>4101</v>
      </c>
      <c r="M71" s="25"/>
      <c r="O71" t="s">
        <v>25</v>
      </c>
      <c r="Q71" s="96"/>
      <c r="R71" s="115" t="s">
        <v>25</v>
      </c>
      <c r="S71" s="115"/>
      <c r="T71" s="115" t="s">
        <v>25</v>
      </c>
      <c r="U71" s="115" t="s">
        <v>25</v>
      </c>
      <c r="V71" s="122" t="s">
        <v>25</v>
      </c>
      <c r="W71" s="194"/>
      <c r="X71" s="194" t="s">
        <v>25</v>
      </c>
      <c r="AH71" s="20">
        <v>51</v>
      </c>
      <c r="AI71" s="117" t="s">
        <v>4161</v>
      </c>
      <c r="AJ71" s="117">
        <v>15500000</v>
      </c>
      <c r="AK71" s="20">
        <v>4</v>
      </c>
      <c r="AL71" s="99">
        <f t="shared" si="20"/>
        <v>366</v>
      </c>
      <c r="AM71" s="117">
        <f t="shared" si="10"/>
        <v>5673000000</v>
      </c>
      <c r="AN71" s="20"/>
    </row>
    <row r="72" spans="1:40">
      <c r="G72" t="s">
        <v>4105</v>
      </c>
      <c r="M72" s="25" t="s">
        <v>4079</v>
      </c>
      <c r="N72" s="96"/>
      <c r="O72" s="96" t="s">
        <v>25</v>
      </c>
      <c r="P72" s="115"/>
      <c r="Q72" s="168" t="s">
        <v>657</v>
      </c>
      <c r="R72" s="168"/>
      <c r="S72" s="168"/>
      <c r="T72" s="168"/>
      <c r="U72" s="168"/>
      <c r="V72" s="168"/>
      <c r="W72" s="32"/>
      <c r="X72" s="32"/>
      <c r="Z72" t="s">
        <v>25</v>
      </c>
      <c r="AH72" s="20">
        <v>52</v>
      </c>
      <c r="AI72" s="117" t="s">
        <v>4165</v>
      </c>
      <c r="AJ72" s="117">
        <v>150000</v>
      </c>
      <c r="AK72" s="20">
        <v>1</v>
      </c>
      <c r="AL72" s="99">
        <f t="shared" si="20"/>
        <v>362</v>
      </c>
      <c r="AM72" s="117">
        <f t="shared" si="10"/>
        <v>54300000</v>
      </c>
      <c r="AN72" s="20"/>
    </row>
    <row r="73" spans="1:40" ht="30">
      <c r="G73" t="s">
        <v>4104</v>
      </c>
      <c r="M73" s="177"/>
      <c r="N73" s="96"/>
      <c r="O73" s="96"/>
      <c r="P73" s="115"/>
      <c r="Q73" s="168" t="s">
        <v>267</v>
      </c>
      <c r="R73" s="168" t="s">
        <v>180</v>
      </c>
      <c r="S73" s="168" t="s">
        <v>183</v>
      </c>
      <c r="T73" s="168" t="s">
        <v>8</v>
      </c>
      <c r="U73" s="168" t="s">
        <v>4361</v>
      </c>
      <c r="V73" s="73" t="s">
        <v>4363</v>
      </c>
      <c r="W73" s="32">
        <v>2</v>
      </c>
      <c r="X73" s="32">
        <v>4</v>
      </c>
      <c r="Y73" t="s">
        <v>25</v>
      </c>
      <c r="AH73" s="179">
        <v>53</v>
      </c>
      <c r="AI73" s="180" t="s">
        <v>4171</v>
      </c>
      <c r="AJ73" s="180">
        <v>29000000</v>
      </c>
      <c r="AK73" s="179">
        <v>15</v>
      </c>
      <c r="AL73" s="179">
        <f t="shared" si="20"/>
        <v>361</v>
      </c>
      <c r="AM73" s="180">
        <f t="shared" si="10"/>
        <v>10469000000</v>
      </c>
      <c r="AN73" s="179" t="s">
        <v>4184</v>
      </c>
    </row>
    <row r="74" spans="1:40">
      <c r="M74" s="96" t="s">
        <v>4798</v>
      </c>
      <c r="N74" s="96"/>
      <c r="O74" s="96"/>
      <c r="Q74" s="168">
        <v>0</v>
      </c>
      <c r="R74" s="168" t="s">
        <v>4171</v>
      </c>
      <c r="S74" s="168">
        <f>S108</f>
        <v>358</v>
      </c>
      <c r="T74" s="168"/>
      <c r="U74" s="168"/>
      <c r="V74" s="73"/>
      <c r="W74" s="32"/>
      <c r="X74" s="32"/>
      <c r="AH74" s="20">
        <v>54</v>
      </c>
      <c r="AI74" s="117" t="s">
        <v>4208</v>
      </c>
      <c r="AJ74" s="117">
        <v>-130000</v>
      </c>
      <c r="AK74" s="20">
        <v>7</v>
      </c>
      <c r="AL74" s="99">
        <f t="shared" si="20"/>
        <v>346</v>
      </c>
      <c r="AM74" s="117">
        <f t="shared" si="10"/>
        <v>-44980000</v>
      </c>
      <c r="AN74" s="20" t="s">
        <v>4210</v>
      </c>
    </row>
    <row r="75" spans="1:40">
      <c r="G75" s="48" t="s">
        <v>788</v>
      </c>
      <c r="H75" s="201" t="s">
        <v>476</v>
      </c>
      <c r="M75" s="122" t="s">
        <v>4407</v>
      </c>
      <c r="O75" s="114"/>
      <c r="Q75" s="169">
        <v>863944</v>
      </c>
      <c r="R75" s="168" t="s">
        <v>4431</v>
      </c>
      <c r="S75" s="168">
        <f>S74-62</f>
        <v>296</v>
      </c>
      <c r="T75" s="190" t="s">
        <v>4503</v>
      </c>
      <c r="U75" s="168">
        <v>184.6</v>
      </c>
      <c r="V75" s="168">
        <f>U75*(1+$R$104+$Q$15*S75/36500)</f>
        <v>229.32276383561646</v>
      </c>
      <c r="W75" s="32">
        <f t="shared" ref="W75:W99" si="21">V75*(1+$W$19/100)</f>
        <v>233.9092191123288</v>
      </c>
      <c r="X75" s="32">
        <f t="shared" ref="X75:X99" si="22">V75*(1+$X$19/100)</f>
        <v>238.49567438904111</v>
      </c>
      <c r="AH75" s="20">
        <v>55</v>
      </c>
      <c r="AI75" s="117" t="s">
        <v>4256</v>
      </c>
      <c r="AJ75" s="117">
        <v>232000</v>
      </c>
      <c r="AK75" s="20">
        <v>2</v>
      </c>
      <c r="AL75" s="99">
        <f t="shared" si="20"/>
        <v>339</v>
      </c>
      <c r="AM75" s="117">
        <f>AJ75*AL75</f>
        <v>78648000</v>
      </c>
      <c r="AN75" s="20" t="s">
        <v>4258</v>
      </c>
    </row>
    <row r="76" spans="1:40">
      <c r="D76" s="3"/>
      <c r="E76" s="11" t="s">
        <v>304</v>
      </c>
      <c r="G76" s="47">
        <v>700000</v>
      </c>
      <c r="H76" s="201" t="s">
        <v>1038</v>
      </c>
      <c r="M76" s="122" t="s">
        <v>4500</v>
      </c>
      <c r="N76" s="96"/>
      <c r="Q76" s="169">
        <v>1692313</v>
      </c>
      <c r="R76" s="168" t="s">
        <v>4506</v>
      </c>
      <c r="S76" s="197">
        <f>S75-21</f>
        <v>275</v>
      </c>
      <c r="T76" s="189" t="s">
        <v>4507</v>
      </c>
      <c r="U76" s="168">
        <v>168.5</v>
      </c>
      <c r="V76" s="168">
        <f>U76*(1+$R$104+$Q$15*S76/36500)</f>
        <v>206.60777534246574</v>
      </c>
      <c r="W76" s="32">
        <f t="shared" si="21"/>
        <v>210.73993084931507</v>
      </c>
      <c r="X76" s="32">
        <f t="shared" si="22"/>
        <v>214.87208635616437</v>
      </c>
      <c r="Y76" s="122" t="s">
        <v>25</v>
      </c>
      <c r="AH76" s="20">
        <v>56</v>
      </c>
      <c r="AI76" s="117" t="s">
        <v>4267</v>
      </c>
      <c r="AJ76" s="117">
        <v>-170000</v>
      </c>
      <c r="AK76" s="20">
        <v>3</v>
      </c>
      <c r="AL76" s="99">
        <f t="shared" si="20"/>
        <v>337</v>
      </c>
      <c r="AM76" s="117">
        <f t="shared" si="10"/>
        <v>-57290000</v>
      </c>
      <c r="AN76" s="20"/>
    </row>
    <row r="77" spans="1:40">
      <c r="D77" s="1" t="s">
        <v>305</v>
      </c>
      <c r="E77" s="1">
        <v>70000</v>
      </c>
      <c r="G77" s="47">
        <v>500000</v>
      </c>
      <c r="H77" s="201" t="s">
        <v>479</v>
      </c>
      <c r="M77" s="122" t="s">
        <v>4570</v>
      </c>
      <c r="N77" s="96"/>
      <c r="P77" t="s">
        <v>25</v>
      </c>
      <c r="Q77" s="169">
        <v>101153</v>
      </c>
      <c r="R77" s="168" t="s">
        <v>4509</v>
      </c>
      <c r="S77" s="197">
        <f>S76-1</f>
        <v>274</v>
      </c>
      <c r="T77" s="189" t="s">
        <v>4511</v>
      </c>
      <c r="U77" s="168">
        <v>166.7</v>
      </c>
      <c r="V77" s="168">
        <f>U77*(1+$R$104+$Q$15*S77/36500)</f>
        <v>204.27280986301369</v>
      </c>
      <c r="W77" s="32">
        <f t="shared" si="21"/>
        <v>208.35826606027396</v>
      </c>
      <c r="X77" s="32">
        <f t="shared" si="22"/>
        <v>212.44372225753423</v>
      </c>
      <c r="Y77" t="s">
        <v>25</v>
      </c>
      <c r="AA77" t="s">
        <v>25</v>
      </c>
      <c r="AH77" s="20">
        <v>57</v>
      </c>
      <c r="AI77" s="117" t="s">
        <v>4281</v>
      </c>
      <c r="AJ77" s="117">
        <v>-300000</v>
      </c>
      <c r="AK77" s="20">
        <v>3</v>
      </c>
      <c r="AL77" s="99">
        <f t="shared" si="20"/>
        <v>334</v>
      </c>
      <c r="AM77" s="117">
        <f t="shared" si="10"/>
        <v>-100200000</v>
      </c>
      <c r="AN77" s="20"/>
    </row>
    <row r="78" spans="1:40" ht="30">
      <c r="D78" s="1" t="s">
        <v>321</v>
      </c>
      <c r="E78" s="1">
        <v>100000</v>
      </c>
      <c r="G78" s="47">
        <v>180000</v>
      </c>
      <c r="H78" s="201" t="s">
        <v>558</v>
      </c>
      <c r="K78" s="212" t="s">
        <v>4734</v>
      </c>
      <c r="L78" s="22" t="s">
        <v>4710</v>
      </c>
      <c r="M78" s="206" t="s">
        <v>4689</v>
      </c>
      <c r="N78" s="96"/>
      <c r="P78" s="115"/>
      <c r="Q78" s="169">
        <v>183105</v>
      </c>
      <c r="R78" s="168" t="s">
        <v>4229</v>
      </c>
      <c r="S78" s="197">
        <f>S77-1</f>
        <v>273</v>
      </c>
      <c r="T78" s="189" t="s">
        <v>4515</v>
      </c>
      <c r="U78" s="168">
        <v>166.6</v>
      </c>
      <c r="V78" s="168">
        <f>U78*(1+$R$104+$Q$15*S78/36500)</f>
        <v>204.02246794520551</v>
      </c>
      <c r="W78" s="32">
        <f t="shared" si="21"/>
        <v>208.10291730410961</v>
      </c>
      <c r="X78" s="32">
        <f t="shared" si="22"/>
        <v>212.18336666301374</v>
      </c>
      <c r="AD78" s="115"/>
      <c r="AE78" s="115"/>
      <c r="AH78" s="20">
        <v>58</v>
      </c>
      <c r="AI78" s="117" t="s">
        <v>4290</v>
      </c>
      <c r="AJ78" s="117">
        <v>-11400000</v>
      </c>
      <c r="AK78" s="20">
        <v>13</v>
      </c>
      <c r="AL78" s="99">
        <f t="shared" ref="AL78:AL83" si="23">AL79+AK78</f>
        <v>331</v>
      </c>
      <c r="AM78" s="117">
        <f t="shared" si="10"/>
        <v>-3773400000</v>
      </c>
      <c r="AN78" s="20"/>
    </row>
    <row r="79" spans="1:40" ht="21">
      <c r="D79" s="1" t="s">
        <v>306</v>
      </c>
      <c r="E79" s="1">
        <v>80000</v>
      </c>
      <c r="G79" s="47">
        <v>0</v>
      </c>
      <c r="H79" s="201" t="s">
        <v>784</v>
      </c>
      <c r="K79" t="s">
        <v>4735</v>
      </c>
      <c r="M79" s="260" t="s">
        <v>5056</v>
      </c>
      <c r="N79" s="96"/>
      <c r="P79" s="115" t="s">
        <v>25</v>
      </c>
      <c r="Q79" s="169">
        <v>168846</v>
      </c>
      <c r="R79" s="168" t="s">
        <v>3690</v>
      </c>
      <c r="S79" s="197">
        <f>S78-30</f>
        <v>243</v>
      </c>
      <c r="T79" s="189" t="s">
        <v>4612</v>
      </c>
      <c r="U79" s="168">
        <v>172.2</v>
      </c>
      <c r="V79" s="168">
        <f>U79*(1+$R$104+$Q$15*S79/36500)</f>
        <v>206.91740712328769</v>
      </c>
      <c r="W79" s="32">
        <f t="shared" si="21"/>
        <v>211.05575526575345</v>
      </c>
      <c r="X79" s="32">
        <f t="shared" si="22"/>
        <v>215.19410340821921</v>
      </c>
      <c r="AC79" s="115"/>
      <c r="AD79" s="115"/>
      <c r="AE79" s="115"/>
      <c r="AF79"/>
      <c r="AH79" s="20">
        <v>59</v>
      </c>
      <c r="AI79" s="117" t="s">
        <v>4345</v>
      </c>
      <c r="AJ79" s="117">
        <v>-10000000</v>
      </c>
      <c r="AK79" s="20">
        <v>1</v>
      </c>
      <c r="AL79" s="99">
        <f t="shared" si="23"/>
        <v>318</v>
      </c>
      <c r="AM79" s="117">
        <f>AJ79*AL79</f>
        <v>-3180000000</v>
      </c>
      <c r="AN79" s="20"/>
    </row>
    <row r="80" spans="1:40">
      <c r="D80" s="31" t="s">
        <v>307</v>
      </c>
      <c r="E80" s="1">
        <v>150000</v>
      </c>
      <c r="G80" s="47">
        <v>0</v>
      </c>
      <c r="H80" s="201" t="s">
        <v>785</v>
      </c>
      <c r="J80" t="s">
        <v>25</v>
      </c>
      <c r="K80" t="s">
        <v>4573</v>
      </c>
      <c r="L80" s="96"/>
      <c r="M80" s="122"/>
      <c r="O80" t="s">
        <v>25</v>
      </c>
      <c r="P80" s="115"/>
      <c r="Q80" s="169">
        <v>19918023</v>
      </c>
      <c r="R80" s="5" t="s">
        <v>4865</v>
      </c>
      <c r="S80" s="197">
        <f>S79-75</f>
        <v>168</v>
      </c>
      <c r="T80" s="189" t="s">
        <v>4867</v>
      </c>
      <c r="U80" s="213">
        <v>183</v>
      </c>
      <c r="V80" s="213">
        <f>U80*(1+$R$104+$Q$15*S80/36500)</f>
        <v>209.36603835616438</v>
      </c>
      <c r="W80" s="32">
        <f t="shared" si="21"/>
        <v>213.55335912328766</v>
      </c>
      <c r="X80" s="32">
        <f t="shared" si="22"/>
        <v>217.74067989041097</v>
      </c>
      <c r="AC80" s="115"/>
      <c r="AD80" s="115"/>
      <c r="AE80" s="115"/>
      <c r="AF80"/>
      <c r="AH80" s="20">
        <v>60</v>
      </c>
      <c r="AI80" s="117" t="s">
        <v>4346</v>
      </c>
      <c r="AJ80" s="117">
        <v>-2450000</v>
      </c>
      <c r="AK80" s="20">
        <v>5</v>
      </c>
      <c r="AL80" s="99">
        <f t="shared" si="23"/>
        <v>317</v>
      </c>
      <c r="AM80" s="117">
        <f>AJ80*AL80</f>
        <v>-776650000</v>
      </c>
      <c r="AN80" s="20"/>
    </row>
    <row r="81" spans="4:52">
      <c r="D81" s="31" t="s">
        <v>308</v>
      </c>
      <c r="E81" s="1">
        <v>300000</v>
      </c>
      <c r="G81" s="47">
        <v>500000</v>
      </c>
      <c r="H81" s="48" t="s">
        <v>786</v>
      </c>
      <c r="K81" t="s">
        <v>4799</v>
      </c>
      <c r="M81" s="96">
        <f>O54+O21+O35-O61</f>
        <v>5027239</v>
      </c>
      <c r="N81" s="113">
        <f>M81*P54</f>
        <v>1506160804.4000001</v>
      </c>
      <c r="P81" s="115"/>
      <c r="Q81" s="169">
        <v>1200301</v>
      </c>
      <c r="R81" s="19" t="s">
        <v>4953</v>
      </c>
      <c r="S81" s="197">
        <f>S80-34</f>
        <v>134</v>
      </c>
      <c r="T81" s="189" t="s">
        <v>4955</v>
      </c>
      <c r="U81" s="213">
        <v>218.5</v>
      </c>
      <c r="V81" s="213">
        <f>U81*(1+$R$104+$Q$15*S81/36500)</f>
        <v>244.28180273972606</v>
      </c>
      <c r="W81" s="32">
        <f t="shared" si="21"/>
        <v>249.16743879452059</v>
      </c>
      <c r="X81" s="32">
        <f t="shared" si="22"/>
        <v>254.05307484931512</v>
      </c>
      <c r="AD81" s="115"/>
      <c r="AE81" s="115"/>
      <c r="AF81" s="115"/>
      <c r="AH81" s="20">
        <v>61</v>
      </c>
      <c r="AI81" s="117" t="s">
        <v>4370</v>
      </c>
      <c r="AJ81" s="117">
        <v>-456081</v>
      </c>
      <c r="AK81" s="20">
        <v>1</v>
      </c>
      <c r="AL81" s="99">
        <f t="shared" si="23"/>
        <v>312</v>
      </c>
      <c r="AM81" s="117">
        <f t="shared" si="10"/>
        <v>-142297272</v>
      </c>
      <c r="AN81" s="20"/>
    </row>
    <row r="82" spans="4:52">
      <c r="D82" s="31" t="s">
        <v>309</v>
      </c>
      <c r="E82" s="1">
        <v>100000</v>
      </c>
      <c r="G82" s="47">
        <v>75000</v>
      </c>
      <c r="H82" s="48" t="s">
        <v>787</v>
      </c>
      <c r="K82" t="s">
        <v>4800</v>
      </c>
      <c r="M82" t="s">
        <v>4265</v>
      </c>
      <c r="P82" s="115"/>
      <c r="Q82" s="169">
        <v>6135206</v>
      </c>
      <c r="R82" s="19" t="s">
        <v>4982</v>
      </c>
      <c r="S82" s="197">
        <f>S81-16</f>
        <v>118</v>
      </c>
      <c r="T82" s="189" t="s">
        <v>4983</v>
      </c>
      <c r="U82" s="213">
        <v>196.2</v>
      </c>
      <c r="V82" s="213">
        <f>U82*(1+$R$104+$Q$15*S82/36500)</f>
        <v>216.9423715068493</v>
      </c>
      <c r="W82" s="32">
        <f t="shared" si="21"/>
        <v>221.28121893698628</v>
      </c>
      <c r="X82" s="32">
        <f t="shared" si="22"/>
        <v>225.62006636712329</v>
      </c>
      <c r="Y82" s="96" t="s">
        <v>25</v>
      </c>
      <c r="Z82" s="115"/>
      <c r="AA82" s="115"/>
      <c r="AB82" s="115"/>
      <c r="AC82" s="115"/>
      <c r="AD82" s="115"/>
      <c r="AE82" s="115"/>
      <c r="AF82" s="115"/>
      <c r="AH82" s="20">
        <v>62</v>
      </c>
      <c r="AI82" s="117" t="s">
        <v>4372</v>
      </c>
      <c r="AJ82" s="117">
        <v>-500000</v>
      </c>
      <c r="AK82" s="20">
        <v>2</v>
      </c>
      <c r="AL82" s="99">
        <f t="shared" si="23"/>
        <v>311</v>
      </c>
      <c r="AM82" s="117">
        <f t="shared" si="10"/>
        <v>-155500000</v>
      </c>
      <c r="AN82" s="20"/>
      <c r="AO82" t="s">
        <v>25</v>
      </c>
      <c r="AU82"/>
      <c r="AW82" t="s">
        <v>25</v>
      </c>
    </row>
    <row r="83" spans="4:52">
      <c r="D83" s="31" t="s">
        <v>310</v>
      </c>
      <c r="E83" s="1">
        <v>200000</v>
      </c>
      <c r="G83" s="47">
        <v>0</v>
      </c>
      <c r="H83" s="48" t="s">
        <v>789</v>
      </c>
      <c r="K83" t="s">
        <v>4801</v>
      </c>
      <c r="M83" t="s">
        <v>4575</v>
      </c>
      <c r="N83" t="s">
        <v>25</v>
      </c>
      <c r="P83" s="115"/>
      <c r="Q83" s="169">
        <v>104578</v>
      </c>
      <c r="R83" s="19" t="s">
        <v>5006</v>
      </c>
      <c r="S83" s="197">
        <f>S82-9</f>
        <v>109</v>
      </c>
      <c r="T83" s="189" t="s">
        <v>5007</v>
      </c>
      <c r="U83" s="213">
        <v>199.8</v>
      </c>
      <c r="V83" s="213">
        <f>U83*(1+$R$104+$Q$15*S83/36500)</f>
        <v>219.54352438356167</v>
      </c>
      <c r="W83" s="32">
        <f t="shared" si="21"/>
        <v>223.93439487123291</v>
      </c>
      <c r="X83" s="32">
        <f t="shared" si="22"/>
        <v>228.32526535890415</v>
      </c>
      <c r="Y83" s="96" t="s">
        <v>25</v>
      </c>
      <c r="Z83" s="115"/>
      <c r="AA83" s="115"/>
      <c r="AB83" s="115"/>
      <c r="AC83" s="128"/>
      <c r="AD83" s="115"/>
      <c r="AE83" s="115"/>
      <c r="AF83" s="115"/>
      <c r="AH83" s="20">
        <v>63</v>
      </c>
      <c r="AI83" s="117" t="s">
        <v>4390</v>
      </c>
      <c r="AJ83" s="117">
        <v>-6234370</v>
      </c>
      <c r="AK83" s="20">
        <v>3</v>
      </c>
      <c r="AL83" s="99">
        <f t="shared" si="23"/>
        <v>309</v>
      </c>
      <c r="AM83" s="117">
        <f t="shared" si="10"/>
        <v>-1926420330</v>
      </c>
      <c r="AN83" s="20"/>
      <c r="AU83"/>
    </row>
    <row r="84" spans="4:52" ht="26.25">
      <c r="D84" s="18" t="s">
        <v>311</v>
      </c>
      <c r="E84" s="18">
        <v>300000</v>
      </c>
      <c r="G84" s="47">
        <v>500000</v>
      </c>
      <c r="H84" s="48" t="s">
        <v>564</v>
      </c>
      <c r="J84">
        <v>0</v>
      </c>
      <c r="K84" t="s">
        <v>4533</v>
      </c>
      <c r="M84" s="257"/>
      <c r="P84" s="115"/>
      <c r="Q84" s="169">
        <v>119253</v>
      </c>
      <c r="R84" s="19" t="s">
        <v>5011</v>
      </c>
      <c r="S84" s="197">
        <f>S83-3</f>
        <v>106</v>
      </c>
      <c r="T84" s="189" t="s">
        <v>5012</v>
      </c>
      <c r="U84" s="213">
        <v>199.5</v>
      </c>
      <c r="V84" s="213">
        <f>U84*(1+$R$104+$Q$15*S84/36500)</f>
        <v>218.75475616438359</v>
      </c>
      <c r="W84" s="32">
        <f t="shared" si="21"/>
        <v>223.12985128767127</v>
      </c>
      <c r="X84" s="32">
        <f t="shared" si="22"/>
        <v>227.50494641095895</v>
      </c>
      <c r="Y84" s="96" t="s">
        <v>25</v>
      </c>
      <c r="Z84" s="115" t="s">
        <v>25</v>
      </c>
      <c r="AA84" s="115"/>
      <c r="AB84" s="115"/>
      <c r="AC84" s="128"/>
      <c r="AD84" s="115"/>
      <c r="AE84" s="115"/>
      <c r="AF84" s="115"/>
      <c r="AH84" s="20">
        <v>64</v>
      </c>
      <c r="AI84" s="117" t="s">
        <v>4400</v>
      </c>
      <c r="AJ84" s="117">
        <v>1950957</v>
      </c>
      <c r="AK84" s="20">
        <v>4</v>
      </c>
      <c r="AL84" s="99">
        <f t="shared" si="20"/>
        <v>306</v>
      </c>
      <c r="AM84" s="117">
        <f t="shared" si="10"/>
        <v>596992842</v>
      </c>
      <c r="AN84" s="20"/>
      <c r="AZ84" t="s">
        <v>25</v>
      </c>
    </row>
    <row r="85" spans="4:52">
      <c r="D85" s="32" t="s">
        <v>312</v>
      </c>
      <c r="E85" s="1">
        <v>200000</v>
      </c>
      <c r="G85" s="47">
        <v>50000</v>
      </c>
      <c r="H85" s="48" t="s">
        <v>792</v>
      </c>
      <c r="K85" t="s">
        <v>4577</v>
      </c>
      <c r="M85" t="s">
        <v>5024</v>
      </c>
      <c r="P85" s="115"/>
      <c r="Q85" s="169">
        <v>30004376</v>
      </c>
      <c r="R85" s="19" t="s">
        <v>5031</v>
      </c>
      <c r="S85" s="197">
        <f>S84-9</f>
        <v>97</v>
      </c>
      <c r="T85" s="189" t="s">
        <v>5032</v>
      </c>
      <c r="U85" s="213">
        <v>200</v>
      </c>
      <c r="V85" s="213">
        <f>U85*(1+$R$104+$Q$15*S85/36500)</f>
        <v>217.92219178082192</v>
      </c>
      <c r="W85" s="32">
        <f t="shared" si="21"/>
        <v>222.28063561643836</v>
      </c>
      <c r="X85" s="32">
        <f t="shared" si="22"/>
        <v>226.6390794520548</v>
      </c>
      <c r="Y85" s="96" t="s">
        <v>25</v>
      </c>
      <c r="Z85" s="115"/>
      <c r="AA85" s="115"/>
      <c r="AB85" s="115"/>
      <c r="AC85" s="128"/>
      <c r="AD85" s="115"/>
      <c r="AE85" s="115"/>
      <c r="AF85" s="115"/>
      <c r="AH85" s="20">
        <v>65</v>
      </c>
      <c r="AI85" s="117" t="s">
        <v>4425</v>
      </c>
      <c r="AJ85" s="117">
        <v>600000</v>
      </c>
      <c r="AK85" s="20">
        <v>5</v>
      </c>
      <c r="AL85" s="99">
        <f t="shared" si="20"/>
        <v>302</v>
      </c>
      <c r="AM85" s="117">
        <f t="shared" si="10"/>
        <v>181200000</v>
      </c>
      <c r="AN85" s="20"/>
    </row>
    <row r="86" spans="4:52">
      <c r="D86" s="32" t="s">
        <v>313</v>
      </c>
      <c r="E86" s="1">
        <v>20000</v>
      </c>
      <c r="G86" s="47">
        <v>140000</v>
      </c>
      <c r="H86" s="48" t="s">
        <v>314</v>
      </c>
      <c r="K86" t="s">
        <v>4532</v>
      </c>
      <c r="M86" s="262" t="s">
        <v>5067</v>
      </c>
      <c r="P86" s="115"/>
      <c r="Q86" s="169">
        <v>119980</v>
      </c>
      <c r="R86" s="19" t="s">
        <v>5061</v>
      </c>
      <c r="S86" s="197">
        <f>S85-8</f>
        <v>89</v>
      </c>
      <c r="T86" s="189" t="s">
        <v>5064</v>
      </c>
      <c r="U86" s="213">
        <v>211</v>
      </c>
      <c r="V86" s="213">
        <f>U86*(1+$R$104+$Q$15*S86/36500)</f>
        <v>228.61300821917811</v>
      </c>
      <c r="W86" s="32">
        <f t="shared" si="21"/>
        <v>233.18526838356169</v>
      </c>
      <c r="X86" s="32">
        <f t="shared" si="22"/>
        <v>237.75752854794524</v>
      </c>
      <c r="Y86" s="96" t="s">
        <v>25</v>
      </c>
      <c r="Z86" s="115"/>
      <c r="AA86" s="115"/>
      <c r="AB86" s="115"/>
      <c r="AC86" s="128"/>
      <c r="AD86" s="115"/>
      <c r="AE86" s="115"/>
      <c r="AF86" s="115"/>
      <c r="AH86" s="20">
        <v>66</v>
      </c>
      <c r="AI86" s="117" t="s">
        <v>4433</v>
      </c>
      <c r="AJ86" s="117">
        <v>7500000</v>
      </c>
      <c r="AK86" s="20">
        <v>2</v>
      </c>
      <c r="AL86" s="99">
        <f t="shared" si="20"/>
        <v>297</v>
      </c>
      <c r="AM86" s="117">
        <f t="shared" si="10"/>
        <v>2227500000</v>
      </c>
      <c r="AN86" s="20"/>
      <c r="AS86" s="96"/>
    </row>
    <row r="87" spans="4:52">
      <c r="D87" s="32" t="s">
        <v>315</v>
      </c>
      <c r="E87" s="1">
        <v>50000</v>
      </c>
      <c r="G87" s="47"/>
      <c r="H87" s="48" t="s">
        <v>25</v>
      </c>
      <c r="J87">
        <v>0</v>
      </c>
      <c r="K87" s="22" t="s">
        <v>4241</v>
      </c>
      <c r="M87" s="262" t="s">
        <v>5068</v>
      </c>
      <c r="O87" t="s">
        <v>25</v>
      </c>
      <c r="P87" t="s">
        <v>25</v>
      </c>
      <c r="Q87" s="169">
        <v>106716</v>
      </c>
      <c r="R87" s="19" t="s">
        <v>5080</v>
      </c>
      <c r="S87" s="197">
        <f>S86-6</f>
        <v>83</v>
      </c>
      <c r="T87" s="189" t="s">
        <v>5082</v>
      </c>
      <c r="U87" s="213">
        <v>213.3</v>
      </c>
      <c r="V87" s="213">
        <f>U87*(1+$R$104+$Q$15*S87/36500)</f>
        <v>230.12323397260278</v>
      </c>
      <c r="W87" s="32">
        <f t="shared" si="21"/>
        <v>234.72569865205483</v>
      </c>
      <c r="X87" s="32">
        <f t="shared" si="22"/>
        <v>239.32816333150689</v>
      </c>
      <c r="Y87" s="122" t="s">
        <v>25</v>
      </c>
      <c r="Z87" s="115"/>
      <c r="AA87" s="115"/>
      <c r="AB87" s="115"/>
      <c r="AC87" s="128"/>
      <c r="AD87" s="115"/>
      <c r="AE87" s="115"/>
      <c r="AF87" s="115"/>
      <c r="AH87" s="20">
        <v>67</v>
      </c>
      <c r="AI87" s="117" t="s">
        <v>4438</v>
      </c>
      <c r="AJ87" s="117">
        <v>-587816</v>
      </c>
      <c r="AK87" s="20">
        <v>3</v>
      </c>
      <c r="AL87" s="99">
        <f t="shared" si="20"/>
        <v>295</v>
      </c>
      <c r="AM87" s="117">
        <f t="shared" si="10"/>
        <v>-173405720</v>
      </c>
      <c r="AN87" s="20"/>
      <c r="AS87" s="96"/>
    </row>
    <row r="88" spans="4:52">
      <c r="D88" s="32" t="s">
        <v>316</v>
      </c>
      <c r="E88" s="1">
        <v>90000</v>
      </c>
      <c r="G88" s="47">
        <f>SUM(G76:G87)</f>
        <v>2645000</v>
      </c>
      <c r="H88" s="48" t="s">
        <v>6</v>
      </c>
      <c r="K88" t="s">
        <v>4529</v>
      </c>
      <c r="Q88" s="169">
        <v>1324444</v>
      </c>
      <c r="R88" s="19" t="s">
        <v>5080</v>
      </c>
      <c r="S88" s="197">
        <f>S87</f>
        <v>83</v>
      </c>
      <c r="T88" s="189" t="s">
        <v>5084</v>
      </c>
      <c r="U88" s="213">
        <v>821.9</v>
      </c>
      <c r="V88" s="213">
        <f>U88*(1+$R$104+$Q$15*S88/36500)</f>
        <v>886.72426630136999</v>
      </c>
      <c r="W88" s="32">
        <f t="shared" si="21"/>
        <v>904.45875162739742</v>
      </c>
      <c r="X88" s="32">
        <f t="shared" si="22"/>
        <v>922.19323695342484</v>
      </c>
      <c r="Z88" s="115"/>
      <c r="AA88" s="115"/>
      <c r="AB88" s="115"/>
      <c r="AC88" s="128"/>
      <c r="AD88" s="115"/>
      <c r="AE88" s="115"/>
      <c r="AF88" s="115"/>
      <c r="AH88" s="20">
        <v>68</v>
      </c>
      <c r="AI88" s="117" t="s">
        <v>4437</v>
      </c>
      <c r="AJ88" s="117">
        <v>-907489</v>
      </c>
      <c r="AK88" s="20">
        <v>0</v>
      </c>
      <c r="AL88" s="99">
        <f>AL89+AK88</f>
        <v>292</v>
      </c>
      <c r="AM88" s="117">
        <f t="shared" si="10"/>
        <v>-264986788</v>
      </c>
      <c r="AN88" s="20"/>
      <c r="AP88" t="s">
        <v>25</v>
      </c>
      <c r="AV88" t="s">
        <v>25</v>
      </c>
    </row>
    <row r="89" spans="4:52">
      <c r="D89" s="32" t="s">
        <v>317</v>
      </c>
      <c r="E89" s="1">
        <v>50000</v>
      </c>
      <c r="K89" t="s">
        <v>4294</v>
      </c>
      <c r="Q89" s="169">
        <v>240923</v>
      </c>
      <c r="R89" s="19" t="s">
        <v>5110</v>
      </c>
      <c r="S89" s="197">
        <f>S88-19</f>
        <v>64</v>
      </c>
      <c r="T89" s="189" t="s">
        <v>5112</v>
      </c>
      <c r="U89" s="213">
        <v>691.1</v>
      </c>
      <c r="V89" s="213">
        <f>U89*(1+$R$104+$Q$15*S89/36500)</f>
        <v>735.53488986301375</v>
      </c>
      <c r="W89" s="32">
        <f t="shared" si="21"/>
        <v>750.24558766027405</v>
      </c>
      <c r="X89" s="32">
        <f t="shared" si="22"/>
        <v>764.95628545753436</v>
      </c>
      <c r="Z89" s="115"/>
      <c r="AA89" s="115"/>
      <c r="AB89" s="115"/>
      <c r="AC89" s="115"/>
      <c r="AD89" s="115"/>
      <c r="AE89" s="115"/>
      <c r="AF89" s="115"/>
      <c r="AG89" s="115"/>
      <c r="AH89" s="20">
        <v>69</v>
      </c>
      <c r="AI89" s="117" t="s">
        <v>4437</v>
      </c>
      <c r="AJ89" s="117">
        <v>2450000</v>
      </c>
      <c r="AK89" s="20">
        <v>1</v>
      </c>
      <c r="AL89" s="99">
        <f t="shared" si="20"/>
        <v>292</v>
      </c>
      <c r="AM89" s="117">
        <f t="shared" si="10"/>
        <v>715400000</v>
      </c>
      <c r="AN89" s="20" t="s">
        <v>4476</v>
      </c>
      <c r="AQ89" t="s">
        <v>25</v>
      </c>
      <c r="AR89" t="s">
        <v>25</v>
      </c>
    </row>
    <row r="90" spans="4:52">
      <c r="D90" s="32" t="s">
        <v>327</v>
      </c>
      <c r="E90" s="1">
        <v>150000</v>
      </c>
      <c r="J90">
        <v>395</v>
      </c>
      <c r="K90" t="s">
        <v>25</v>
      </c>
      <c r="Q90" s="169">
        <v>1408805</v>
      </c>
      <c r="R90" s="19" t="s">
        <v>5117</v>
      </c>
      <c r="S90" s="197">
        <f>S89-2</f>
        <v>62</v>
      </c>
      <c r="T90" s="189" t="s">
        <v>5119</v>
      </c>
      <c r="U90" s="213">
        <v>235.2</v>
      </c>
      <c r="V90" s="213">
        <f>U90*(1+$R$104+$Q$15*S90/36500)</f>
        <v>249.96153863013697</v>
      </c>
      <c r="W90" s="32">
        <f t="shared" si="21"/>
        <v>254.96076940273971</v>
      </c>
      <c r="X90" s="32">
        <f t="shared" si="22"/>
        <v>259.96000017534249</v>
      </c>
      <c r="Z90" s="115"/>
      <c r="AA90" s="115"/>
      <c r="AB90" s="115"/>
      <c r="AC90" s="115"/>
      <c r="AD90" s="115"/>
      <c r="AE90"/>
      <c r="AG90" s="115"/>
      <c r="AH90" s="20">
        <v>70</v>
      </c>
      <c r="AI90" s="117" t="s">
        <v>4478</v>
      </c>
      <c r="AJ90" s="117">
        <v>1500000</v>
      </c>
      <c r="AK90" s="20">
        <v>1</v>
      </c>
      <c r="AL90" s="99">
        <f t="shared" si="20"/>
        <v>291</v>
      </c>
      <c r="AM90" s="117">
        <f t="shared" si="10"/>
        <v>436500000</v>
      </c>
      <c r="AN90" s="20"/>
      <c r="AP90" t="s">
        <v>25</v>
      </c>
      <c r="AU90" s="96" t="s">
        <v>25</v>
      </c>
    </row>
    <row r="91" spans="4:52">
      <c r="D91" s="32" t="s">
        <v>318</v>
      </c>
      <c r="E91" s="1">
        <v>15000</v>
      </c>
      <c r="F91" s="96"/>
      <c r="G91" s="96"/>
      <c r="H91" s="96"/>
      <c r="I91" s="96"/>
      <c r="J91" s="96"/>
      <c r="K91" s="96"/>
      <c r="M91" s="193" t="s">
        <v>4528</v>
      </c>
      <c r="Q91" s="169">
        <v>4507053</v>
      </c>
      <c r="R91" s="19" t="s">
        <v>5121</v>
      </c>
      <c r="S91" s="197">
        <f>S90-1</f>
        <v>61</v>
      </c>
      <c r="T91" s="189" t="s">
        <v>5122</v>
      </c>
      <c r="U91" s="213">
        <v>225</v>
      </c>
      <c r="V91" s="213">
        <f>U91*(1+$R$104+$Q$15*S91/36500)</f>
        <v>238.94876712328769</v>
      </c>
      <c r="W91" s="32">
        <f t="shared" si="21"/>
        <v>243.72774246575347</v>
      </c>
      <c r="X91" s="32">
        <f t="shared" si="22"/>
        <v>248.50671780821921</v>
      </c>
      <c r="Z91" s="115"/>
      <c r="AA91" s="115"/>
      <c r="AE91"/>
      <c r="AG91" s="96"/>
      <c r="AH91" s="20">
        <v>71</v>
      </c>
      <c r="AI91" s="117" t="s">
        <v>4484</v>
      </c>
      <c r="AJ91" s="117">
        <v>2648000</v>
      </c>
      <c r="AK91" s="20">
        <v>1</v>
      </c>
      <c r="AL91" s="99">
        <f t="shared" si="20"/>
        <v>290</v>
      </c>
      <c r="AM91" s="117">
        <f t="shared" si="10"/>
        <v>767920000</v>
      </c>
      <c r="AN91" s="20" t="s">
        <v>4485</v>
      </c>
      <c r="AU91" s="96" t="s">
        <v>25</v>
      </c>
    </row>
    <row r="92" spans="4:52">
      <c r="D92" s="32" t="s">
        <v>319</v>
      </c>
      <c r="E92" s="1">
        <v>20000</v>
      </c>
      <c r="F92" s="96"/>
      <c r="G92" s="96"/>
      <c r="H92" s="96"/>
      <c r="I92" s="96"/>
      <c r="J92" s="96"/>
      <c r="K92" s="96"/>
      <c r="M92" t="s">
        <v>4529</v>
      </c>
      <c r="Q92" s="169">
        <v>1927152</v>
      </c>
      <c r="R92" s="19" t="s">
        <v>5115</v>
      </c>
      <c r="S92" s="197">
        <f>S91-1</f>
        <v>60</v>
      </c>
      <c r="T92" s="189" t="s">
        <v>5123</v>
      </c>
      <c r="U92" s="213">
        <v>232.6</v>
      </c>
      <c r="V92" s="213">
        <f>U92*(1+$R$104+$Q$15*S92/36500)</f>
        <v>246.84149260273975</v>
      </c>
      <c r="W92" s="32">
        <f t="shared" si="21"/>
        <v>251.77832245479453</v>
      </c>
      <c r="X92" s="32">
        <f t="shared" si="22"/>
        <v>256.71515230684935</v>
      </c>
      <c r="Z92" s="115"/>
      <c r="AA92" s="115"/>
      <c r="AE92"/>
      <c r="AG92" s="96"/>
      <c r="AH92" s="20">
        <v>72</v>
      </c>
      <c r="AI92" s="117" t="s">
        <v>4230</v>
      </c>
      <c r="AJ92" s="117">
        <v>615000</v>
      </c>
      <c r="AK92" s="20">
        <v>4</v>
      </c>
      <c r="AL92" s="99">
        <f t="shared" si="20"/>
        <v>289</v>
      </c>
      <c r="AM92" s="117">
        <f t="shared" si="10"/>
        <v>177735000</v>
      </c>
      <c r="AN92" s="20"/>
      <c r="AV92" t="s">
        <v>25</v>
      </c>
    </row>
    <row r="93" spans="4:52">
      <c r="D93" s="32" t="s">
        <v>320</v>
      </c>
      <c r="E93" s="1">
        <v>40000</v>
      </c>
      <c r="F93" s="96"/>
      <c r="G93" s="96"/>
      <c r="H93" s="96"/>
      <c r="I93" s="96"/>
      <c r="J93" s="96"/>
      <c r="K93" s="96"/>
      <c r="M93" t="s">
        <v>4532</v>
      </c>
      <c r="Q93" s="169">
        <v>40486</v>
      </c>
      <c r="R93" s="19" t="s">
        <v>5142</v>
      </c>
      <c r="S93" s="197">
        <f>S92-13</f>
        <v>47</v>
      </c>
      <c r="T93" s="189" t="s">
        <v>5180</v>
      </c>
      <c r="U93" s="213">
        <v>707</v>
      </c>
      <c r="V93" s="213">
        <f>U93*(1+$R$104+$Q$15*S93/36500)</f>
        <v>743.23713972602752</v>
      </c>
      <c r="W93" s="32">
        <f t="shared" si="21"/>
        <v>758.10188252054809</v>
      </c>
      <c r="X93" s="32">
        <f t="shared" si="22"/>
        <v>772.96662531506865</v>
      </c>
      <c r="Z93" s="115"/>
      <c r="AA93" s="115"/>
      <c r="AE93"/>
      <c r="AG93" s="96"/>
      <c r="AH93" s="20">
        <v>73</v>
      </c>
      <c r="AI93" s="117" t="s">
        <v>4495</v>
      </c>
      <c r="AJ93" s="117">
        <v>14000000</v>
      </c>
      <c r="AK93" s="20">
        <v>2</v>
      </c>
      <c r="AL93" s="99">
        <f>AL94+AK93</f>
        <v>285</v>
      </c>
      <c r="AM93" s="117">
        <f t="shared" si="10"/>
        <v>3990000000</v>
      </c>
      <c r="AN93" s="20"/>
    </row>
    <row r="94" spans="4:52">
      <c r="D94" s="32" t="s">
        <v>322</v>
      </c>
      <c r="E94" s="1">
        <v>150000</v>
      </c>
      <c r="F94" s="96"/>
      <c r="G94" s="96"/>
      <c r="H94" s="96"/>
      <c r="I94" s="96"/>
      <c r="J94" s="96"/>
      <c r="K94" s="96"/>
      <c r="M94" t="s">
        <v>4533</v>
      </c>
      <c r="Q94" s="169">
        <v>160558</v>
      </c>
      <c r="R94" s="19" t="s">
        <v>5215</v>
      </c>
      <c r="S94" s="197">
        <f>S93-36</f>
        <v>11</v>
      </c>
      <c r="T94" s="189" t="s">
        <v>5217</v>
      </c>
      <c r="U94" s="213">
        <v>4319.3999999999996</v>
      </c>
      <c r="V94" s="213">
        <f>U94*(1+$R$104+$Q$15*S94/36500)</f>
        <v>4421.5035156164377</v>
      </c>
      <c r="W94" s="32">
        <f t="shared" si="21"/>
        <v>4509.9335859287667</v>
      </c>
      <c r="X94" s="32">
        <f t="shared" si="22"/>
        <v>4598.3636562410957</v>
      </c>
      <c r="Y94">
        <v>961521</v>
      </c>
      <c r="AH94" s="20">
        <v>74</v>
      </c>
      <c r="AI94" s="117" t="s">
        <v>4499</v>
      </c>
      <c r="AJ94" s="117">
        <v>1313000</v>
      </c>
      <c r="AK94" s="20">
        <v>0</v>
      </c>
      <c r="AL94" s="99">
        <f>AL95+AK94</f>
        <v>283</v>
      </c>
      <c r="AM94" s="117">
        <f t="shared" si="10"/>
        <v>371579000</v>
      </c>
      <c r="AN94" s="20"/>
      <c r="AQ94" t="s">
        <v>25</v>
      </c>
    </row>
    <row r="95" spans="4:52">
      <c r="D95" s="32" t="s">
        <v>324</v>
      </c>
      <c r="E95" s="1">
        <v>75000</v>
      </c>
      <c r="F95" s="96"/>
      <c r="G95" s="96"/>
      <c r="H95" s="96"/>
      <c r="I95" s="96"/>
      <c r="J95" s="96"/>
      <c r="K95" s="96"/>
      <c r="L95" s="96"/>
      <c r="M95" s="96"/>
      <c r="N95" s="96"/>
      <c r="Q95" s="169">
        <v>123799</v>
      </c>
      <c r="R95" s="19" t="s">
        <v>5215</v>
      </c>
      <c r="S95" s="197">
        <f>S94</f>
        <v>11</v>
      </c>
      <c r="T95" s="189" t="s">
        <v>5218</v>
      </c>
      <c r="U95" s="213">
        <v>790</v>
      </c>
      <c r="V95" s="213">
        <f>U95*(1+$R$104+$Q$15*S95/36500)</f>
        <v>808.67430136986309</v>
      </c>
      <c r="W95" s="32">
        <f t="shared" si="21"/>
        <v>824.84778739726039</v>
      </c>
      <c r="X95" s="32">
        <f t="shared" si="22"/>
        <v>841.02127342465769</v>
      </c>
      <c r="Y95">
        <v>44349</v>
      </c>
      <c r="AH95" s="99">
        <v>75</v>
      </c>
      <c r="AI95" s="113" t="s">
        <v>4499</v>
      </c>
      <c r="AJ95" s="113">
        <v>2269000</v>
      </c>
      <c r="AK95" s="99">
        <v>1</v>
      </c>
      <c r="AL95" s="99">
        <f t="shared" ref="AL95:AL120" si="24">AL96+AK95</f>
        <v>283</v>
      </c>
      <c r="AM95" s="117">
        <f t="shared" si="10"/>
        <v>642127000</v>
      </c>
      <c r="AN95" s="99"/>
    </row>
    <row r="96" spans="4:52">
      <c r="D96" s="32" t="s">
        <v>314</v>
      </c>
      <c r="E96" s="1">
        <v>140000</v>
      </c>
      <c r="F96" s="96"/>
      <c r="G96" s="96"/>
      <c r="H96" s="96"/>
      <c r="I96" s="96"/>
      <c r="J96" s="96"/>
      <c r="K96" s="96"/>
      <c r="L96" s="96"/>
      <c r="M96" s="96"/>
      <c r="N96" s="96"/>
      <c r="Q96" s="169">
        <v>108400</v>
      </c>
      <c r="R96" s="19" t="s">
        <v>5220</v>
      </c>
      <c r="S96" s="197">
        <f>S95-3</f>
        <v>8</v>
      </c>
      <c r="T96" s="189" t="s">
        <v>5221</v>
      </c>
      <c r="U96" s="213">
        <v>4316</v>
      </c>
      <c r="V96" s="213">
        <f>U96*(1+$R$104+$Q$15*S96/36500)</f>
        <v>4408.0904328767128</v>
      </c>
      <c r="W96" s="32">
        <f t="shared" si="21"/>
        <v>4496.2522415342473</v>
      </c>
      <c r="X96" s="32">
        <f t="shared" si="22"/>
        <v>4584.4140501917818</v>
      </c>
      <c r="Y96">
        <v>9625</v>
      </c>
      <c r="AH96" s="99">
        <v>76</v>
      </c>
      <c r="AI96" s="113" t="s">
        <v>4231</v>
      </c>
      <c r="AJ96" s="113">
        <v>750000</v>
      </c>
      <c r="AK96" s="99">
        <v>4</v>
      </c>
      <c r="AL96" s="99">
        <f t="shared" si="24"/>
        <v>282</v>
      </c>
      <c r="AM96" s="117">
        <f t="shared" si="10"/>
        <v>211500000</v>
      </c>
      <c r="AN96" s="99"/>
      <c r="AQ96" t="s">
        <v>25</v>
      </c>
    </row>
    <row r="97" spans="4:47">
      <c r="D97" s="2" t="s">
        <v>478</v>
      </c>
      <c r="E97" s="3">
        <v>1083333</v>
      </c>
      <c r="F97" s="96"/>
      <c r="G97" s="96"/>
      <c r="H97" s="96"/>
      <c r="I97" s="96"/>
      <c r="J97" s="96"/>
      <c r="K97" s="96"/>
      <c r="Q97" s="169">
        <v>11503451</v>
      </c>
      <c r="R97" s="19" t="s">
        <v>5274</v>
      </c>
      <c r="S97" s="197">
        <f>S96-17</f>
        <v>-9</v>
      </c>
      <c r="T97" s="189" t="s">
        <v>5276</v>
      </c>
      <c r="U97" s="213">
        <v>293.2</v>
      </c>
      <c r="V97" s="213">
        <f>U97*(1+$R$104+$Q$15*S97/36500)</f>
        <v>295.63235506849315</v>
      </c>
      <c r="W97" s="32">
        <f t="shared" si="21"/>
        <v>301.54500216986304</v>
      </c>
      <c r="X97" s="32">
        <f t="shared" si="22"/>
        <v>307.45764927123287</v>
      </c>
      <c r="Y97">
        <v>6980</v>
      </c>
      <c r="AH97" s="99">
        <v>77</v>
      </c>
      <c r="AI97" s="113" t="s">
        <v>4506</v>
      </c>
      <c r="AJ97" s="113">
        <v>1900000</v>
      </c>
      <c r="AK97" s="99">
        <v>3</v>
      </c>
      <c r="AL97" s="99">
        <f t="shared" si="24"/>
        <v>278</v>
      </c>
      <c r="AM97" s="117">
        <f t="shared" si="10"/>
        <v>528200000</v>
      </c>
      <c r="AN97" s="99"/>
    </row>
    <row r="98" spans="4:47">
      <c r="D98" s="2"/>
      <c r="E98" s="3"/>
      <c r="F98" s="96"/>
      <c r="G98" s="96"/>
      <c r="H98" s="96"/>
      <c r="I98" s="96"/>
      <c r="J98" s="96"/>
      <c r="K98" s="96"/>
      <c r="Q98" s="169">
        <v>298455</v>
      </c>
      <c r="R98" s="19" t="s">
        <v>5281</v>
      </c>
      <c r="S98" s="197">
        <f>S97-1</f>
        <v>-10</v>
      </c>
      <c r="T98" s="189" t="s">
        <v>5290</v>
      </c>
      <c r="U98" s="213">
        <v>199</v>
      </c>
      <c r="V98" s="213">
        <f>U98*(1+$R$104+$Q$15*S98/36500)</f>
        <v>200.49822465753425</v>
      </c>
      <c r="W98" s="32">
        <f t="shared" si="21"/>
        <v>204.50818915068493</v>
      </c>
      <c r="X98" s="32">
        <f t="shared" si="22"/>
        <v>208.51815364383563</v>
      </c>
      <c r="Y98">
        <v>6963</v>
      </c>
      <c r="AH98" s="99">
        <v>78</v>
      </c>
      <c r="AI98" s="113" t="s">
        <v>4519</v>
      </c>
      <c r="AJ98" s="113">
        <v>6400000</v>
      </c>
      <c r="AK98" s="99">
        <v>1</v>
      </c>
      <c r="AL98" s="99">
        <f t="shared" si="24"/>
        <v>275</v>
      </c>
      <c r="AM98" s="117">
        <f t="shared" si="10"/>
        <v>1760000000</v>
      </c>
      <c r="AN98" s="99"/>
      <c r="AT98" s="96" t="s">
        <v>25</v>
      </c>
    </row>
    <row r="99" spans="4:47">
      <c r="D99" s="2"/>
      <c r="E99" s="3"/>
      <c r="F99" s="96"/>
      <c r="G99" s="96"/>
      <c r="H99" s="96"/>
      <c r="I99" s="96"/>
      <c r="J99" s="96"/>
      <c r="K99" s="96"/>
      <c r="L99" t="s">
        <v>25</v>
      </c>
      <c r="P99" s="115"/>
      <c r="Q99" s="169"/>
      <c r="R99" s="168"/>
      <c r="S99" s="113"/>
      <c r="T99" s="113"/>
      <c r="U99" s="168"/>
      <c r="V99" s="168">
        <f>U99*(1+$R$104+$Q$15*S99/36500)</f>
        <v>0</v>
      </c>
      <c r="W99" s="32">
        <f t="shared" si="21"/>
        <v>0</v>
      </c>
      <c r="X99" s="32">
        <f t="shared" si="22"/>
        <v>0</v>
      </c>
      <c r="Y99" s="96">
        <v>0</v>
      </c>
      <c r="AH99" s="99">
        <v>79</v>
      </c>
      <c r="AI99" s="113" t="s">
        <v>4517</v>
      </c>
      <c r="AJ99" s="113">
        <v>5000</v>
      </c>
      <c r="AK99" s="99">
        <v>5</v>
      </c>
      <c r="AL99" s="99">
        <f t="shared" si="24"/>
        <v>274</v>
      </c>
      <c r="AM99" s="117">
        <f t="shared" si="10"/>
        <v>1370000</v>
      </c>
      <c r="AN99" s="99"/>
      <c r="AP99" t="s">
        <v>25</v>
      </c>
    </row>
    <row r="100" spans="4:47">
      <c r="D100" s="2" t="s">
        <v>6</v>
      </c>
      <c r="E100" s="3">
        <f>SUM(E77:E98)</f>
        <v>3383333</v>
      </c>
      <c r="F100" s="96"/>
      <c r="G100" s="96"/>
      <c r="H100" s="96"/>
      <c r="I100" s="96"/>
      <c r="J100" s="96"/>
      <c r="K100" s="96"/>
      <c r="P100" s="128"/>
      <c r="Q100" s="113">
        <f>SUM(N32:N35)-SUM(Q74:Q99)</f>
        <v>35906610.600000009</v>
      </c>
      <c r="R100" s="168"/>
      <c r="S100" s="168"/>
      <c r="T100" s="168"/>
      <c r="U100" s="168"/>
      <c r="V100" s="168"/>
      <c r="W100" s="32"/>
      <c r="X100" s="32"/>
      <c r="Y100" s="96">
        <v>9904</v>
      </c>
      <c r="AH100" s="99">
        <v>80</v>
      </c>
      <c r="AI100" s="113" t="s">
        <v>4549</v>
      </c>
      <c r="AJ100" s="113">
        <v>-1750148</v>
      </c>
      <c r="AK100" s="99">
        <v>1</v>
      </c>
      <c r="AL100" s="99">
        <f t="shared" si="24"/>
        <v>269</v>
      </c>
      <c r="AM100" s="117">
        <f t="shared" si="10"/>
        <v>-470789812</v>
      </c>
      <c r="AN100" s="99"/>
    </row>
    <row r="101" spans="4:47">
      <c r="D101" s="2" t="s">
        <v>328</v>
      </c>
      <c r="E101" s="3">
        <f>E100/30</f>
        <v>112777.76666666666</v>
      </c>
      <c r="F101" s="96"/>
      <c r="G101" s="96"/>
      <c r="H101" s="96"/>
      <c r="I101" s="96"/>
      <c r="J101" s="96" t="s">
        <v>25</v>
      </c>
      <c r="K101" s="96" t="s">
        <v>25</v>
      </c>
      <c r="P101" s="128"/>
      <c r="R101" s="115"/>
      <c r="S101" s="115"/>
      <c r="T101" s="115" t="s">
        <v>25</v>
      </c>
      <c r="U101" s="115"/>
      <c r="V101" s="115" t="s">
        <v>25</v>
      </c>
      <c r="W101" s="194" t="s">
        <v>25</v>
      </c>
      <c r="X101" s="194"/>
      <c r="Y101" s="96">
        <v>0</v>
      </c>
      <c r="AH101" s="99">
        <v>81</v>
      </c>
      <c r="AI101" s="113" t="s">
        <v>4552</v>
      </c>
      <c r="AJ101" s="113">
        <v>400000</v>
      </c>
      <c r="AK101" s="99">
        <v>0</v>
      </c>
      <c r="AL101" s="99">
        <f t="shared" si="24"/>
        <v>268</v>
      </c>
      <c r="AM101" s="117">
        <f t="shared" si="10"/>
        <v>107200000</v>
      </c>
      <c r="AN101" s="99"/>
    </row>
    <row r="102" spans="4:47">
      <c r="F102" s="96"/>
      <c r="G102" s="96"/>
      <c r="H102" s="96"/>
      <c r="I102" s="96"/>
      <c r="J102" s="96"/>
      <c r="K102" s="96" t="s">
        <v>25</v>
      </c>
      <c r="L102" s="96"/>
      <c r="M102" s="96"/>
      <c r="N102" s="96"/>
      <c r="P102" s="115"/>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4"/>
        <v>268</v>
      </c>
      <c r="AM102" s="117">
        <f t="shared" si="10"/>
        <v>-564252828</v>
      </c>
      <c r="AN102" s="99"/>
      <c r="AO102" t="s">
        <v>25</v>
      </c>
    </row>
    <row r="103" spans="4:47">
      <c r="F103" s="96"/>
      <c r="G103" s="96"/>
      <c r="H103" s="96"/>
      <c r="I103" s="96"/>
      <c r="J103" s="96" t="s">
        <v>25</v>
      </c>
      <c r="K103" s="96" t="s">
        <v>25</v>
      </c>
      <c r="L103" s="96"/>
      <c r="M103" s="96"/>
      <c r="N103" s="96"/>
      <c r="Q103" s="99" t="s">
        <v>61</v>
      </c>
      <c r="R103" s="99">
        <v>4.8999999999999998E-3</v>
      </c>
      <c r="T103" t="s">
        <v>25</v>
      </c>
      <c r="U103" s="96" t="s">
        <v>25</v>
      </c>
      <c r="V103" t="s">
        <v>25</v>
      </c>
      <c r="W103" s="194" t="s">
        <v>25</v>
      </c>
      <c r="X103" s="194"/>
      <c r="Y103" s="96">
        <v>10000</v>
      </c>
      <c r="AH103" s="99">
        <v>83</v>
      </c>
      <c r="AI103" s="113" t="s">
        <v>4555</v>
      </c>
      <c r="AJ103" s="113">
        <v>-5527618</v>
      </c>
      <c r="AK103" s="99">
        <v>0</v>
      </c>
      <c r="AL103" s="99">
        <f t="shared" si="24"/>
        <v>267</v>
      </c>
      <c r="AM103" s="117">
        <f t="shared" si="10"/>
        <v>-1475874006</v>
      </c>
      <c r="AN103" s="99"/>
    </row>
    <row r="104" spans="4:47">
      <c r="F104" s="96"/>
      <c r="G104" s="96"/>
      <c r="H104" s="96"/>
      <c r="I104" s="96"/>
      <c r="J104" s="96"/>
      <c r="K104" s="96"/>
      <c r="L104" s="96"/>
      <c r="M104" s="96"/>
      <c r="N104" s="96"/>
      <c r="Q104" s="99" t="s">
        <v>6</v>
      </c>
      <c r="R104" s="99">
        <f>R102+R103</f>
        <v>1.52E-2</v>
      </c>
      <c r="T104" t="s">
        <v>25</v>
      </c>
      <c r="U104" s="96" t="s">
        <v>25</v>
      </c>
      <c r="V104" t="s">
        <v>25</v>
      </c>
      <c r="W104" s="194"/>
      <c r="X104" s="194"/>
      <c r="Y104" s="96">
        <v>5664</v>
      </c>
      <c r="AH104" s="99">
        <v>84</v>
      </c>
      <c r="AI104" s="113" t="s">
        <v>4555</v>
      </c>
      <c r="AJ104" s="113">
        <v>3900000</v>
      </c>
      <c r="AK104" s="99">
        <v>3</v>
      </c>
      <c r="AL104" s="99">
        <f t="shared" si="24"/>
        <v>267</v>
      </c>
      <c r="AM104" s="117">
        <f t="shared" si="10"/>
        <v>1041300000</v>
      </c>
      <c r="AN104" s="99"/>
    </row>
    <row r="105" spans="4:47">
      <c r="F105" s="96"/>
      <c r="G105" s="96"/>
      <c r="H105" s="96"/>
      <c r="I105" s="96"/>
      <c r="J105" s="96" t="s">
        <v>25</v>
      </c>
      <c r="K105" t="s">
        <v>25</v>
      </c>
      <c r="L105" s="96"/>
      <c r="M105" s="96"/>
      <c r="N105" s="96"/>
      <c r="W105" s="194"/>
      <c r="X105" s="194"/>
      <c r="Y105" s="96">
        <v>10000</v>
      </c>
      <c r="AH105" s="99">
        <v>85</v>
      </c>
      <c r="AI105" s="113" t="s">
        <v>4556</v>
      </c>
      <c r="AJ105" s="113">
        <v>-3969754</v>
      </c>
      <c r="AK105" s="99">
        <v>1</v>
      </c>
      <c r="AL105" s="99">
        <f t="shared" si="24"/>
        <v>264</v>
      </c>
      <c r="AM105" s="117">
        <f t="shared" si="10"/>
        <v>-1048015056</v>
      </c>
      <c r="AN105" s="99"/>
    </row>
    <row r="106" spans="4:47" ht="30">
      <c r="J106" t="s">
        <v>25</v>
      </c>
      <c r="Q106" s="73" t="s">
        <v>4293</v>
      </c>
      <c r="R106" s="112"/>
      <c r="S106" s="112"/>
      <c r="T106" s="112"/>
      <c r="U106" s="168" t="s">
        <v>4361</v>
      </c>
      <c r="V106" s="36" t="s">
        <v>4363</v>
      </c>
      <c r="W106" s="32"/>
      <c r="X106" s="32"/>
      <c r="Y106" s="96">
        <v>8695</v>
      </c>
      <c r="AH106" s="99">
        <v>86</v>
      </c>
      <c r="AI106" s="113" t="s">
        <v>4567</v>
      </c>
      <c r="AJ106" s="113">
        <v>-25574455</v>
      </c>
      <c r="AK106" s="99">
        <v>0</v>
      </c>
      <c r="AL106" s="99">
        <f t="shared" si="24"/>
        <v>263</v>
      </c>
      <c r="AM106" s="117">
        <f t="shared" si="10"/>
        <v>-6726081665</v>
      </c>
      <c r="AN106" s="99"/>
      <c r="AP106" t="s">
        <v>25</v>
      </c>
    </row>
    <row r="107" spans="4:47">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4"/>
        <v>263</v>
      </c>
      <c r="AM107" s="117">
        <f t="shared" si="10"/>
        <v>1052000000</v>
      </c>
      <c r="AN107" s="99"/>
    </row>
    <row r="108" spans="4:47">
      <c r="F108" s="213" t="s">
        <v>4684</v>
      </c>
      <c r="G108" s="213" t="s">
        <v>940</v>
      </c>
      <c r="H108" s="213" t="s">
        <v>4672</v>
      </c>
      <c r="I108" s="213" t="s">
        <v>4671</v>
      </c>
      <c r="J108" s="32" t="s">
        <v>4534</v>
      </c>
      <c r="K108" s="213" t="s">
        <v>4664</v>
      </c>
      <c r="L108" s="32" t="s">
        <v>4666</v>
      </c>
      <c r="M108" s="32" t="s">
        <v>4640</v>
      </c>
      <c r="N108" s="213" t="s">
        <v>4641</v>
      </c>
      <c r="Q108" s="35">
        <v>184971545</v>
      </c>
      <c r="R108" s="5" t="s">
        <v>4171</v>
      </c>
      <c r="S108" s="5">
        <v>358</v>
      </c>
      <c r="T108" s="5" t="s">
        <v>4344</v>
      </c>
      <c r="U108" s="168">
        <v>192</v>
      </c>
      <c r="V108" s="99">
        <f>U108*(1+$R$104+$Q$15*S108/36500)</f>
        <v>247.64738630136986</v>
      </c>
      <c r="W108" s="32">
        <f t="shared" ref="W108:W124" si="25">V108*(1+$W$19/100)</f>
        <v>252.60033402739725</v>
      </c>
      <c r="X108" s="32">
        <f t="shared" ref="X108:X124" si="26">V108*(1+$X$19/100)</f>
        <v>257.55328175342464</v>
      </c>
      <c r="Y108" s="96"/>
      <c r="AH108" s="99">
        <v>88</v>
      </c>
      <c r="AI108" s="113" t="s">
        <v>993</v>
      </c>
      <c r="AJ108" s="113">
        <v>-5000000</v>
      </c>
      <c r="AK108" s="99">
        <v>2</v>
      </c>
      <c r="AL108" s="99">
        <f t="shared" si="24"/>
        <v>262</v>
      </c>
      <c r="AM108" s="117">
        <f t="shared" si="10"/>
        <v>-1310000000</v>
      </c>
      <c r="AN108" s="99"/>
    </row>
    <row r="109" spans="4:47">
      <c r="F109" s="199">
        <f>$L$117/G109</f>
        <v>13351.134846461948</v>
      </c>
      <c r="G109" s="199">
        <f>P54</f>
        <v>299.60000000000002</v>
      </c>
      <c r="H109" s="199" t="s">
        <v>4782</v>
      </c>
      <c r="I109" s="199" t="s">
        <v>4781</v>
      </c>
      <c r="J109" s="214" t="s">
        <v>4241</v>
      </c>
      <c r="K109" s="199">
        <v>175</v>
      </c>
      <c r="L109" s="215">
        <f>K109*$L$117</f>
        <v>700000000</v>
      </c>
      <c r="M109" s="215">
        <f>N21+N35+N54</f>
        <v>1506160804.4000001</v>
      </c>
      <c r="N109" s="183">
        <f t="shared" ref="N109:N113" si="27">L109-M109</f>
        <v>-806160804.4000001</v>
      </c>
      <c r="Q109" s="35">
        <v>9560464</v>
      </c>
      <c r="R109" s="5" t="s">
        <v>4297</v>
      </c>
      <c r="S109" s="5">
        <f>S108-31</f>
        <v>327</v>
      </c>
      <c r="T109" s="5" t="s">
        <v>4310</v>
      </c>
      <c r="U109" s="168">
        <v>214.57</v>
      </c>
      <c r="V109" s="99">
        <f>U109*(1+$R$104+$Q$15*S109/36500)</f>
        <v>271.65620153424658</v>
      </c>
      <c r="W109" s="32">
        <f t="shared" si="25"/>
        <v>277.08932556493153</v>
      </c>
      <c r="X109" s="32">
        <f t="shared" si="26"/>
        <v>282.52244959561642</v>
      </c>
      <c r="Y109" s="96"/>
      <c r="AD109" s="96"/>
      <c r="AE109"/>
      <c r="AF109"/>
      <c r="AH109" s="99">
        <v>89</v>
      </c>
      <c r="AI109" s="113" t="s">
        <v>4572</v>
      </c>
      <c r="AJ109" s="113">
        <v>10000000</v>
      </c>
      <c r="AK109" s="99">
        <v>4</v>
      </c>
      <c r="AL109" s="99">
        <f t="shared" si="24"/>
        <v>260</v>
      </c>
      <c r="AM109" s="117">
        <f t="shared" si="10"/>
        <v>2600000000</v>
      </c>
      <c r="AN109" s="99"/>
    </row>
    <row r="110" spans="4:47">
      <c r="F110" s="213">
        <v>0</v>
      </c>
      <c r="G110" s="213">
        <v>0</v>
      </c>
      <c r="H110" s="213" t="s">
        <v>4957</v>
      </c>
      <c r="I110" s="213" t="s">
        <v>4958</v>
      </c>
      <c r="J110" s="32" t="s">
        <v>4392</v>
      </c>
      <c r="K110" s="213">
        <v>0</v>
      </c>
      <c r="L110" s="1">
        <f>K110*$L$117</f>
        <v>0</v>
      </c>
      <c r="M110" s="1">
        <f>0</f>
        <v>0</v>
      </c>
      <c r="N110" s="113">
        <f t="shared" si="27"/>
        <v>0</v>
      </c>
      <c r="Q110" s="35">
        <v>2000000</v>
      </c>
      <c r="R110" s="5" t="s">
        <v>4340</v>
      </c>
      <c r="S110" s="5">
        <f>S109-11</f>
        <v>316</v>
      </c>
      <c r="T110" s="5" t="s">
        <v>4343</v>
      </c>
      <c r="U110" s="168">
        <v>206.8</v>
      </c>
      <c r="V110" s="99">
        <f>U110*(1+$R$104+$Q$15*S110/36500)</f>
        <v>260.07394630136992</v>
      </c>
      <c r="W110" s="32">
        <f t="shared" si="25"/>
        <v>265.27542522739731</v>
      </c>
      <c r="X110" s="32">
        <f t="shared" si="26"/>
        <v>270.4769041534247</v>
      </c>
      <c r="AH110" s="99">
        <v>90</v>
      </c>
      <c r="AI110" s="113" t="s">
        <v>4574</v>
      </c>
      <c r="AJ110" s="113">
        <v>-5241937</v>
      </c>
      <c r="AK110" s="99">
        <v>0</v>
      </c>
      <c r="AL110" s="99">
        <f t="shared" si="24"/>
        <v>256</v>
      </c>
      <c r="AM110" s="117">
        <f t="shared" si="10"/>
        <v>-1341935872</v>
      </c>
      <c r="AN110" s="99"/>
    </row>
    <row r="111" spans="4:47">
      <c r="F111" s="199">
        <v>0</v>
      </c>
      <c r="G111" s="199">
        <v>0</v>
      </c>
      <c r="H111" s="199" t="s">
        <v>5116</v>
      </c>
      <c r="I111" s="199" t="s">
        <v>5115</v>
      </c>
      <c r="J111" s="214" t="s">
        <v>4388</v>
      </c>
      <c r="K111" s="199">
        <v>0</v>
      </c>
      <c r="L111" s="215">
        <f>K111*$L$117</f>
        <v>0</v>
      </c>
      <c r="M111" s="215">
        <f>0</f>
        <v>0</v>
      </c>
      <c r="N111" s="183">
        <f t="shared" si="27"/>
        <v>0</v>
      </c>
      <c r="Q111" s="35">
        <v>1429825</v>
      </c>
      <c r="R111" s="5" t="s">
        <v>4370</v>
      </c>
      <c r="S111" s="5">
        <f>S110-7</f>
        <v>309</v>
      </c>
      <c r="T111" s="5" t="s">
        <v>4379</v>
      </c>
      <c r="U111" s="168">
        <v>203.9</v>
      </c>
      <c r="V111" s="99">
        <f>U111*(1+$R$104+$Q$15*S111/36500)</f>
        <v>255.33195945205483</v>
      </c>
      <c r="W111" s="32">
        <f t="shared" si="25"/>
        <v>260.43859864109595</v>
      </c>
      <c r="X111" s="32">
        <f t="shared" si="26"/>
        <v>265.54523783013701</v>
      </c>
      <c r="AH111" s="99">
        <v>91</v>
      </c>
      <c r="AI111" s="113" t="s">
        <v>4574</v>
      </c>
      <c r="AJ111" s="113">
        <v>21900000</v>
      </c>
      <c r="AK111" s="99">
        <v>2</v>
      </c>
      <c r="AL111" s="99">
        <f t="shared" si="24"/>
        <v>256</v>
      </c>
      <c r="AM111" s="117">
        <f t="shared" si="10"/>
        <v>5606400000</v>
      </c>
      <c r="AN111" s="99"/>
      <c r="AP111" t="s">
        <v>25</v>
      </c>
      <c r="AU111"/>
    </row>
    <row r="112" spans="4:47">
      <c r="F112" s="213">
        <f>$L$117/G112</f>
        <v>4657.1195715449994</v>
      </c>
      <c r="G112" s="213">
        <f>P49</f>
        <v>858.9</v>
      </c>
      <c r="H112" s="213" t="s">
        <v>4674</v>
      </c>
      <c r="I112" s="213" t="s">
        <v>4673</v>
      </c>
      <c r="J112" s="32" t="s">
        <v>4406</v>
      </c>
      <c r="K112" s="213">
        <v>43</v>
      </c>
      <c r="L112" s="1">
        <f>K112*$L$117</f>
        <v>172000000</v>
      </c>
      <c r="M112" s="1">
        <f>N49+N29</f>
        <v>212479835.39999998</v>
      </c>
      <c r="N112" s="113">
        <f t="shared" si="27"/>
        <v>-40479835.399999976</v>
      </c>
      <c r="Q112" s="35">
        <v>1420747</v>
      </c>
      <c r="R112" s="5" t="s">
        <v>4370</v>
      </c>
      <c r="S112" s="5">
        <f>S111</f>
        <v>309</v>
      </c>
      <c r="T112" s="5" t="s">
        <v>4381</v>
      </c>
      <c r="U112" s="168">
        <v>203.1</v>
      </c>
      <c r="V112" s="99">
        <f>U112*(1+$R$104+$Q$15*S112/36500)</f>
        <v>254.33016657534247</v>
      </c>
      <c r="W112" s="32">
        <f t="shared" si="25"/>
        <v>259.41676990684931</v>
      </c>
      <c r="X112" s="32">
        <f t="shared" si="26"/>
        <v>264.50337323835618</v>
      </c>
      <c r="Y112">
        <v>13000</v>
      </c>
      <c r="AH112" s="99">
        <v>92</v>
      </c>
      <c r="AI112" s="113" t="s">
        <v>4582</v>
      </c>
      <c r="AJ112" s="113">
        <v>-15000000</v>
      </c>
      <c r="AK112" s="99">
        <v>0</v>
      </c>
      <c r="AL112" s="99">
        <f t="shared" si="24"/>
        <v>254</v>
      </c>
      <c r="AM112" s="117">
        <f t="shared" si="10"/>
        <v>-3810000000</v>
      </c>
      <c r="AN112" s="99"/>
      <c r="AO112" t="s">
        <v>25</v>
      </c>
    </row>
    <row r="113" spans="6:46">
      <c r="F113" s="199"/>
      <c r="G113" s="199"/>
      <c r="H113" s="199"/>
      <c r="I113" s="199"/>
      <c r="J113" s="214" t="s">
        <v>4650</v>
      </c>
      <c r="K113" s="199">
        <v>1</v>
      </c>
      <c r="L113" s="215">
        <f>K113*$L$117</f>
        <v>4000000</v>
      </c>
      <c r="M113" s="215">
        <f>0</f>
        <v>0</v>
      </c>
      <c r="N113" s="183">
        <f t="shared" si="27"/>
        <v>4000000</v>
      </c>
      <c r="Q113" s="35">
        <v>2010885</v>
      </c>
      <c r="R113" s="5" t="s">
        <v>4390</v>
      </c>
      <c r="S113" s="5">
        <f>S112-3</f>
        <v>306</v>
      </c>
      <c r="T113" s="5" t="s">
        <v>4395</v>
      </c>
      <c r="U113" s="168">
        <v>202.1</v>
      </c>
      <c r="V113" s="99">
        <f>U113*(1+$R$104+$Q$15*S113/36500)</f>
        <v>252.61281863013701</v>
      </c>
      <c r="W113" s="32">
        <f t="shared" si="25"/>
        <v>257.66507500273974</v>
      </c>
      <c r="X113" s="32">
        <f t="shared" si="26"/>
        <v>262.7173313753425</v>
      </c>
      <c r="Y113" t="s">
        <v>25</v>
      </c>
      <c r="AH113" s="99">
        <v>93</v>
      </c>
      <c r="AI113" s="113" t="s">
        <v>4582</v>
      </c>
      <c r="AJ113" s="113">
        <v>3000000</v>
      </c>
      <c r="AK113" s="99">
        <v>1</v>
      </c>
      <c r="AL113" s="99">
        <f t="shared" si="24"/>
        <v>254</v>
      </c>
      <c r="AM113" s="117">
        <f t="shared" si="10"/>
        <v>762000000</v>
      </c>
      <c r="AN113" s="99"/>
    </row>
    <row r="114" spans="6:46">
      <c r="F114" s="191"/>
      <c r="G114" s="191"/>
      <c r="H114" s="191"/>
      <c r="I114" s="191"/>
      <c r="J114" s="258" t="s">
        <v>5242</v>
      </c>
      <c r="K114" s="191">
        <v>203</v>
      </c>
      <c r="L114" s="259">
        <f>K114*$L$117</f>
        <v>812000000</v>
      </c>
      <c r="M114" s="259">
        <v>0</v>
      </c>
      <c r="N114" s="86">
        <f>L114-M114</f>
        <v>812000000</v>
      </c>
      <c r="Q114" s="35">
        <v>444</v>
      </c>
      <c r="R114" s="5" t="s">
        <v>4400</v>
      </c>
      <c r="S114" s="5">
        <f>S113-3</f>
        <v>303</v>
      </c>
      <c r="T114" s="5" t="s">
        <v>4602</v>
      </c>
      <c r="U114" s="168">
        <v>441.8</v>
      </c>
      <c r="V114" s="99">
        <f>U114*(1+$R$104+$Q$15*S114/36500)</f>
        <v>551.20662575342465</v>
      </c>
      <c r="W114" s="32">
        <f t="shared" si="25"/>
        <v>562.2307582684931</v>
      </c>
      <c r="X114" s="32">
        <f t="shared" si="26"/>
        <v>573.25489078356168</v>
      </c>
      <c r="Y114" t="s">
        <v>25</v>
      </c>
      <c r="AH114" s="99">
        <v>94</v>
      </c>
      <c r="AI114" s="113" t="s">
        <v>4586</v>
      </c>
      <c r="AJ114" s="113">
        <v>-2103736</v>
      </c>
      <c r="AK114" s="99">
        <v>0</v>
      </c>
      <c r="AL114" s="99">
        <f t="shared" si="24"/>
        <v>253</v>
      </c>
      <c r="AM114" s="117">
        <f t="shared" si="10"/>
        <v>-532245208</v>
      </c>
      <c r="AN114" s="99"/>
    </row>
    <row r="115" spans="6:46">
      <c r="F115" s="213"/>
      <c r="G115" s="213"/>
      <c r="H115" s="213"/>
      <c r="I115" s="213"/>
      <c r="J115" s="32" t="s">
        <v>4756</v>
      </c>
      <c r="K115" s="213"/>
      <c r="L115" s="1"/>
      <c r="M115" s="1"/>
      <c r="N115" s="113">
        <v>30000000</v>
      </c>
      <c r="O115" t="s">
        <v>25</v>
      </c>
      <c r="Q115" s="35">
        <v>1971103</v>
      </c>
      <c r="R115" s="5" t="s">
        <v>4411</v>
      </c>
      <c r="S115" s="5">
        <f>S114-1</f>
        <v>302</v>
      </c>
      <c r="T115" s="5" t="s">
        <v>4412</v>
      </c>
      <c r="U115" s="168">
        <v>196.2</v>
      </c>
      <c r="V115" s="99">
        <f>U115*(1+$R$104+$Q$15*S115/36500)</f>
        <v>244.63613589041097</v>
      </c>
      <c r="W115" s="32">
        <f t="shared" si="25"/>
        <v>249.5288586082192</v>
      </c>
      <c r="X115" s="32">
        <f t="shared" si="26"/>
        <v>254.42158132602742</v>
      </c>
      <c r="AH115" s="99">
        <v>95</v>
      </c>
      <c r="AI115" s="113" t="s">
        <v>4586</v>
      </c>
      <c r="AJ115" s="113">
        <v>220000</v>
      </c>
      <c r="AK115" s="99">
        <v>3</v>
      </c>
      <c r="AL115" s="99">
        <f t="shared" si="24"/>
        <v>253</v>
      </c>
      <c r="AM115" s="117">
        <f t="shared" si="10"/>
        <v>55660000</v>
      </c>
      <c r="AN115" s="99"/>
      <c r="AR115" s="96"/>
      <c r="AS115" s="96"/>
      <c r="AT115"/>
    </row>
    <row r="116" spans="6:46">
      <c r="F116" s="199"/>
      <c r="G116" s="199"/>
      <c r="H116" s="199"/>
      <c r="I116" s="199"/>
      <c r="J116" s="214" t="s">
        <v>5144</v>
      </c>
      <c r="K116" s="199">
        <f>SUM(K109:K114)</f>
        <v>422</v>
      </c>
      <c r="L116" s="215"/>
      <c r="M116" s="215"/>
      <c r="N116" s="183"/>
      <c r="Q116" s="35">
        <v>1049856</v>
      </c>
      <c r="R116" s="5" t="s">
        <v>4431</v>
      </c>
      <c r="S116" s="5">
        <f>S115-6</f>
        <v>296</v>
      </c>
      <c r="T116" s="5" t="s">
        <v>4470</v>
      </c>
      <c r="U116" s="168">
        <v>184.5</v>
      </c>
      <c r="V116" s="99">
        <f>U116*(1+$R$104+$Q$15*S116/36500)</f>
        <v>229.19853698630141</v>
      </c>
      <c r="W116" s="32">
        <f t="shared" si="25"/>
        <v>233.78250772602743</v>
      </c>
      <c r="X116" s="32">
        <f t="shared" si="26"/>
        <v>238.36647846575346</v>
      </c>
      <c r="Y116">
        <v>23000</v>
      </c>
      <c r="AH116" s="99">
        <v>96</v>
      </c>
      <c r="AI116" s="113" t="s">
        <v>4595</v>
      </c>
      <c r="AJ116" s="113">
        <v>4000000</v>
      </c>
      <c r="AK116" s="99">
        <v>1</v>
      </c>
      <c r="AL116" s="99">
        <f t="shared" si="24"/>
        <v>250</v>
      </c>
      <c r="AM116" s="117">
        <f t="shared" si="10"/>
        <v>1000000000</v>
      </c>
      <c r="AN116" s="99"/>
    </row>
    <row r="117" spans="6:46">
      <c r="F117" s="213"/>
      <c r="G117" s="213"/>
      <c r="H117" s="213" t="s">
        <v>25</v>
      </c>
      <c r="I117" s="213"/>
      <c r="J117" s="32"/>
      <c r="K117" s="213">
        <v>0</v>
      </c>
      <c r="L117" s="39">
        <f>10*P56</f>
        <v>4000000</v>
      </c>
      <c r="M117" s="1">
        <f>K117*L117</f>
        <v>0</v>
      </c>
      <c r="N117" s="113">
        <f>SUM(N109:N115)-M117</f>
        <v>-640639.80000007153</v>
      </c>
      <c r="P117" s="114"/>
      <c r="Q117" s="35">
        <v>1783234</v>
      </c>
      <c r="R117" s="5" t="s">
        <v>4433</v>
      </c>
      <c r="S117" s="5">
        <f>S116-2</f>
        <v>294</v>
      </c>
      <c r="T117" s="5" t="s">
        <v>4434</v>
      </c>
      <c r="U117" s="168">
        <v>177.5</v>
      </c>
      <c r="V117" s="99">
        <f>U117*(1+$R$104+$Q$15*S117/36500)</f>
        <v>220.2303287671233</v>
      </c>
      <c r="W117" s="32">
        <f t="shared" si="25"/>
        <v>224.63493534246575</v>
      </c>
      <c r="X117" s="32">
        <f t="shared" si="26"/>
        <v>229.03954191780824</v>
      </c>
      <c r="Y117">
        <v>6000</v>
      </c>
      <c r="AH117" s="99">
        <v>97</v>
      </c>
      <c r="AI117" s="113" t="s">
        <v>4600</v>
      </c>
      <c r="AJ117" s="113">
        <v>-9000000</v>
      </c>
      <c r="AK117" s="99">
        <v>0</v>
      </c>
      <c r="AL117" s="99">
        <f t="shared" si="24"/>
        <v>249</v>
      </c>
      <c r="AM117" s="117">
        <f t="shared" si="10"/>
        <v>-2241000000</v>
      </c>
      <c r="AN117" s="99"/>
      <c r="AP117" t="s">
        <v>25</v>
      </c>
    </row>
    <row r="118" spans="6:46">
      <c r="F118" s="199"/>
      <c r="G118" s="199"/>
      <c r="H118" s="199"/>
      <c r="I118" s="199"/>
      <c r="J118" s="214"/>
      <c r="K118" s="245"/>
      <c r="L118" s="215" t="s">
        <v>4251</v>
      </c>
      <c r="M118" s="215" t="s">
        <v>4658</v>
      </c>
      <c r="N118" s="183" t="s">
        <v>4659</v>
      </c>
      <c r="Q118" s="35">
        <v>1662335</v>
      </c>
      <c r="R118" s="5" t="s">
        <v>4437</v>
      </c>
      <c r="S118" s="5">
        <f>S117-5</f>
        <v>289</v>
      </c>
      <c r="T118" s="218" t="s">
        <v>4585</v>
      </c>
      <c r="U118" s="168">
        <v>190.3</v>
      </c>
      <c r="V118" s="99">
        <f>U118*(1+$R$104+$Q$15*S118/36500)</f>
        <v>235.38180931506852</v>
      </c>
      <c r="W118" s="32">
        <f t="shared" si="25"/>
        <v>240.08944550136991</v>
      </c>
      <c r="X118" s="32">
        <f t="shared" si="26"/>
        <v>244.79708168767127</v>
      </c>
      <c r="AH118" s="99">
        <v>98</v>
      </c>
      <c r="AI118" s="113" t="s">
        <v>4600</v>
      </c>
      <c r="AJ118" s="113">
        <v>13900000</v>
      </c>
      <c r="AK118" s="99">
        <v>2</v>
      </c>
      <c r="AL118" s="99">
        <f t="shared" si="24"/>
        <v>249</v>
      </c>
      <c r="AM118" s="117">
        <f t="shared" si="10"/>
        <v>3461100000</v>
      </c>
      <c r="AN118" s="99"/>
    </row>
    <row r="119" spans="6:46">
      <c r="F119" s="213"/>
      <c r="G119" s="213"/>
      <c r="H119" s="213"/>
      <c r="I119" s="213"/>
      <c r="J119" s="32" t="s">
        <v>4665</v>
      </c>
      <c r="K119" s="213"/>
      <c r="L119" s="1"/>
      <c r="M119" s="1"/>
      <c r="N119" s="113"/>
      <c r="Q119" s="35">
        <v>2272487</v>
      </c>
      <c r="R119" s="5" t="s">
        <v>4595</v>
      </c>
      <c r="S119" s="5">
        <f>S118-42</f>
        <v>247</v>
      </c>
      <c r="T119" s="5" t="s">
        <v>4596</v>
      </c>
      <c r="U119" s="168">
        <v>174.9</v>
      </c>
      <c r="V119" s="99">
        <f>U119*(1+$R$104+$Q$15*S119/36500)</f>
        <v>210.69843616438357</v>
      </c>
      <c r="W119" s="32">
        <f t="shared" si="25"/>
        <v>214.91240488767124</v>
      </c>
      <c r="X119" s="32">
        <f t="shared" si="26"/>
        <v>219.12637361095892</v>
      </c>
      <c r="Y119">
        <v>3300</v>
      </c>
      <c r="AH119" s="99">
        <v>99</v>
      </c>
      <c r="AI119" s="113" t="s">
        <v>4609</v>
      </c>
      <c r="AJ119" s="113">
        <v>-8127577</v>
      </c>
      <c r="AK119" s="99">
        <v>1</v>
      </c>
      <c r="AL119" s="99">
        <f t="shared" si="24"/>
        <v>247</v>
      </c>
      <c r="AM119" s="117">
        <f t="shared" si="10"/>
        <v>-2007511519</v>
      </c>
      <c r="AN119" s="99"/>
      <c r="AO119" t="s">
        <v>25</v>
      </c>
      <c r="AQ119" t="s">
        <v>25</v>
      </c>
    </row>
    <row r="120" spans="6:46">
      <c r="M120" t="s">
        <v>25</v>
      </c>
      <c r="Q120" s="35">
        <v>3975257</v>
      </c>
      <c r="R120" s="5" t="s">
        <v>4600</v>
      </c>
      <c r="S120" s="5">
        <f>S119-1</f>
        <v>246</v>
      </c>
      <c r="T120" s="5" t="s">
        <v>4601</v>
      </c>
      <c r="U120" s="168">
        <v>173</v>
      </c>
      <c r="V120" s="99">
        <f>U120*(1+$R$104+$Q$15*S120/36500)</f>
        <v>208.27683287671235</v>
      </c>
      <c r="W120" s="32">
        <f t="shared" si="25"/>
        <v>212.44236953424661</v>
      </c>
      <c r="X120" s="32">
        <f t="shared" si="26"/>
        <v>216.60790619178084</v>
      </c>
      <c r="AH120" s="99">
        <v>100</v>
      </c>
      <c r="AI120" s="113" t="s">
        <v>3690</v>
      </c>
      <c r="AJ120" s="113">
        <v>15792549</v>
      </c>
      <c r="AK120" s="99">
        <v>3</v>
      </c>
      <c r="AL120" s="99">
        <f t="shared" si="24"/>
        <v>246</v>
      </c>
      <c r="AM120" s="117">
        <f t="shared" si="10"/>
        <v>3884967054</v>
      </c>
      <c r="AN120" s="99"/>
      <c r="AO120" t="s">
        <v>25</v>
      </c>
      <c r="AP120" t="s">
        <v>25</v>
      </c>
    </row>
    <row r="121" spans="6:46">
      <c r="P121" s="114"/>
      <c r="Q121" s="35">
        <v>1031662</v>
      </c>
      <c r="R121" s="5" t="s">
        <v>4232</v>
      </c>
      <c r="S121" s="5">
        <f>S120-1</f>
        <v>245</v>
      </c>
      <c r="T121" s="5" t="s">
        <v>4604</v>
      </c>
      <c r="U121" s="168">
        <v>171.2</v>
      </c>
      <c r="V121" s="99">
        <f>U121*(1+$R$104+$Q$15*S121/36500)</f>
        <v>205.9784591780822</v>
      </c>
      <c r="W121" s="32">
        <f t="shared" si="25"/>
        <v>210.09802836164386</v>
      </c>
      <c r="X121" s="32">
        <f t="shared" si="26"/>
        <v>214.21759754520551</v>
      </c>
      <c r="AH121" s="99">
        <v>101</v>
      </c>
      <c r="AI121" s="113" t="s">
        <v>4614</v>
      </c>
      <c r="AJ121" s="113">
        <v>8800000</v>
      </c>
      <c r="AK121" s="99">
        <v>0</v>
      </c>
      <c r="AL121" s="99">
        <f t="shared" ref="AL121:AL125" si="28">AL122+AK121</f>
        <v>243</v>
      </c>
      <c r="AM121" s="117">
        <f t="shared" ref="AM121:AM144" si="29">AJ121*AL121</f>
        <v>2138400000</v>
      </c>
      <c r="AN121" s="99"/>
      <c r="AP121" t="s">
        <v>25</v>
      </c>
    </row>
    <row r="122" spans="6:46" ht="45">
      <c r="K122" s="168" t="s">
        <v>4534</v>
      </c>
      <c r="L122" s="168" t="s">
        <v>4535</v>
      </c>
      <c r="M122" s="168" t="s">
        <v>4429</v>
      </c>
      <c r="N122" s="56" t="s">
        <v>190</v>
      </c>
      <c r="Q122" s="35">
        <v>577500</v>
      </c>
      <c r="R122" s="5" t="s">
        <v>4232</v>
      </c>
      <c r="S122" s="5">
        <f>S121</f>
        <v>245</v>
      </c>
      <c r="T122" s="5" t="s">
        <v>4608</v>
      </c>
      <c r="U122" s="168">
        <v>175</v>
      </c>
      <c r="V122" s="99">
        <f>U122*(1+$R$104+$Q$15*S122/36500)</f>
        <v>210.55041095890414</v>
      </c>
      <c r="W122" s="32">
        <f t="shared" si="25"/>
        <v>214.76141917808224</v>
      </c>
      <c r="X122" s="32">
        <f t="shared" si="26"/>
        <v>218.9724273972603</v>
      </c>
      <c r="Y122" t="s">
        <v>25</v>
      </c>
      <c r="AH122" s="121">
        <v>102</v>
      </c>
      <c r="AI122" s="79" t="s">
        <v>4614</v>
      </c>
      <c r="AJ122" s="79">
        <v>13071612</v>
      </c>
      <c r="AK122" s="121">
        <v>1</v>
      </c>
      <c r="AL122" s="121">
        <f t="shared" si="28"/>
        <v>243</v>
      </c>
      <c r="AM122" s="79">
        <f t="shared" si="29"/>
        <v>3176401716</v>
      </c>
      <c r="AN122" s="205" t="s">
        <v>4615</v>
      </c>
    </row>
    <row r="123" spans="6:46">
      <c r="H123" s="114"/>
      <c r="K123" s="168" t="s">
        <v>4241</v>
      </c>
      <c r="L123" s="169">
        <v>1100000</v>
      </c>
      <c r="M123" s="169">
        <v>1637000</v>
      </c>
      <c r="N123" s="168">
        <f t="shared" ref="N123:N131" si="30">(M123-L123)*100/L123</f>
        <v>48.81818181818182</v>
      </c>
      <c r="Q123" s="35">
        <v>12636487</v>
      </c>
      <c r="R123" s="5" t="s">
        <v>3690</v>
      </c>
      <c r="S123" s="5">
        <f>S122-2</f>
        <v>243</v>
      </c>
      <c r="T123" s="5" t="s">
        <v>4611</v>
      </c>
      <c r="U123" s="168">
        <v>172.1</v>
      </c>
      <c r="V123" s="99">
        <f>U123*(1+$R$104+$Q$15*S123/36500)</f>
        <v>206.79724602739728</v>
      </c>
      <c r="W123" s="32">
        <f t="shared" si="25"/>
        <v>210.93319094794523</v>
      </c>
      <c r="X123" s="32">
        <f t="shared" si="26"/>
        <v>215.06913586849316</v>
      </c>
      <c r="Y123" t="s">
        <v>25</v>
      </c>
      <c r="AH123" s="89">
        <v>103</v>
      </c>
      <c r="AI123" s="90" t="s">
        <v>4618</v>
      </c>
      <c r="AJ123" s="90">
        <v>16727037</v>
      </c>
      <c r="AK123" s="89">
        <v>0</v>
      </c>
      <c r="AL123" s="89">
        <f t="shared" si="28"/>
        <v>242</v>
      </c>
      <c r="AM123" s="90">
        <f t="shared" si="29"/>
        <v>4047942954</v>
      </c>
      <c r="AN123" s="89" t="s">
        <v>4625</v>
      </c>
    </row>
    <row r="124" spans="6:46">
      <c r="F124" s="96"/>
      <c r="G124" s="213"/>
      <c r="H124" s="213" t="s">
        <v>5166</v>
      </c>
      <c r="I124" s="213" t="s">
        <v>5253</v>
      </c>
      <c r="J124" s="1">
        <v>12404873</v>
      </c>
      <c r="K124" s="5" t="s">
        <v>4529</v>
      </c>
      <c r="L124" s="169">
        <v>1100000</v>
      </c>
      <c r="M124" s="169">
        <v>4748000</v>
      </c>
      <c r="N124" s="168">
        <f t="shared" si="30"/>
        <v>331.63636363636363</v>
      </c>
      <c r="Q124" s="39">
        <v>11121445</v>
      </c>
      <c r="R124" s="5" t="s">
        <v>4614</v>
      </c>
      <c r="S124" s="5">
        <f>S123-3</f>
        <v>240</v>
      </c>
      <c r="T124" s="5" t="s">
        <v>4792</v>
      </c>
      <c r="U124" s="168">
        <v>171.8</v>
      </c>
      <c r="V124" s="99">
        <f>U124*(1+$R$104+$Q$15*S124/36500)</f>
        <v>206.04138739726031</v>
      </c>
      <c r="W124" s="32">
        <f t="shared" si="25"/>
        <v>210.16221514520552</v>
      </c>
      <c r="X124" s="32">
        <f t="shared" si="26"/>
        <v>214.28304289315074</v>
      </c>
      <c r="Y124" s="122" t="s">
        <v>25</v>
      </c>
      <c r="AH124" s="99">
        <v>104</v>
      </c>
      <c r="AI124" s="113" t="s">
        <v>4618</v>
      </c>
      <c r="AJ124" s="113">
        <v>12000000</v>
      </c>
      <c r="AK124" s="99">
        <v>1</v>
      </c>
      <c r="AL124" s="99">
        <f t="shared" si="28"/>
        <v>242</v>
      </c>
      <c r="AM124" s="117">
        <f t="shared" si="29"/>
        <v>2904000000</v>
      </c>
      <c r="AN124" s="99" t="s">
        <v>4626</v>
      </c>
    </row>
    <row r="125" spans="6:46">
      <c r="F125" s="96"/>
      <c r="G125" s="213" t="s">
        <v>940</v>
      </c>
      <c r="H125" s="213" t="s">
        <v>4534</v>
      </c>
      <c r="I125" s="213" t="s">
        <v>936</v>
      </c>
      <c r="J125" s="213" t="s">
        <v>4754</v>
      </c>
      <c r="K125" s="5" t="s">
        <v>4530</v>
      </c>
      <c r="L125" s="169">
        <v>1100000</v>
      </c>
      <c r="M125" s="169">
        <v>5137000</v>
      </c>
      <c r="N125" s="168">
        <f t="shared" si="30"/>
        <v>367</v>
      </c>
      <c r="Q125" s="35">
        <v>40048573</v>
      </c>
      <c r="R125" s="5" t="s">
        <v>4624</v>
      </c>
      <c r="S125" s="5">
        <f>S124-3</f>
        <v>237</v>
      </c>
      <c r="T125" s="5" t="s">
        <v>4628</v>
      </c>
      <c r="U125" s="168">
        <v>498.9</v>
      </c>
      <c r="V125" s="99">
        <f>U125*(1+$R$104+$Q$15*S125/36500)</f>
        <v>597.18740054794523</v>
      </c>
      <c r="W125" s="32">
        <f t="shared" ref="W125:W162" si="31">V125*(1+$W$19/100)</f>
        <v>609.1311485589041</v>
      </c>
      <c r="X125" s="32">
        <f t="shared" ref="X125:X162" si="32">V125*(1+$X$19/100)</f>
        <v>621.07489656986309</v>
      </c>
      <c r="AH125" s="89">
        <v>105</v>
      </c>
      <c r="AI125" s="90" t="s">
        <v>4545</v>
      </c>
      <c r="AJ125" s="90">
        <v>88697667</v>
      </c>
      <c r="AK125" s="89">
        <v>1</v>
      </c>
      <c r="AL125" s="89">
        <f t="shared" si="28"/>
        <v>241</v>
      </c>
      <c r="AM125" s="90">
        <f t="shared" si="29"/>
        <v>21376137747</v>
      </c>
      <c r="AN125" s="89" t="s">
        <v>4627</v>
      </c>
      <c r="AP125" t="s">
        <v>25</v>
      </c>
    </row>
    <row r="126" spans="6:46">
      <c r="F126" s="96"/>
      <c r="G126" s="1">
        <f>P54</f>
        <v>299.60000000000002</v>
      </c>
      <c r="H126" s="213" t="s">
        <v>4241</v>
      </c>
      <c r="I126" s="213">
        <v>137827</v>
      </c>
      <c r="J126" s="1">
        <f>I126*G126</f>
        <v>41292969.200000003</v>
      </c>
      <c r="K126" s="19" t="s">
        <v>4388</v>
      </c>
      <c r="L126" s="169">
        <v>1100000</v>
      </c>
      <c r="M126" s="169">
        <v>4300000</v>
      </c>
      <c r="N126" s="168">
        <f t="shared" si="30"/>
        <v>290.90909090909093</v>
      </c>
      <c r="P126" s="114"/>
      <c r="Q126" s="35">
        <v>559461</v>
      </c>
      <c r="R126" s="5" t="s">
        <v>4662</v>
      </c>
      <c r="S126" s="5">
        <f>S125-7</f>
        <v>230</v>
      </c>
      <c r="T126" s="5" t="s">
        <v>4669</v>
      </c>
      <c r="U126" s="210">
        <v>508.1</v>
      </c>
      <c r="V126" s="99">
        <f>U126*(1+$R$104+$Q$15*S126/36500)</f>
        <v>605.47144876712343</v>
      </c>
      <c r="W126" s="32">
        <f t="shared" si="31"/>
        <v>617.58087774246587</v>
      </c>
      <c r="X126" s="32">
        <f t="shared" si="32"/>
        <v>629.69030671780843</v>
      </c>
      <c r="Y126" t="s">
        <v>25</v>
      </c>
      <c r="AH126" s="99">
        <v>106</v>
      </c>
      <c r="AI126" s="113" t="s">
        <v>4548</v>
      </c>
      <c r="AJ126" s="113">
        <v>101000</v>
      </c>
      <c r="AK126" s="99">
        <v>0</v>
      </c>
      <c r="AL126" s="99">
        <f>AL127+AK126</f>
        <v>240</v>
      </c>
      <c r="AM126" s="117">
        <f t="shared" si="29"/>
        <v>24240000</v>
      </c>
      <c r="AN126" s="99"/>
      <c r="AQ126" t="s">
        <v>25</v>
      </c>
    </row>
    <row r="127" spans="6:46">
      <c r="F127" s="96"/>
      <c r="G127" s="1">
        <f>P49</f>
        <v>858.9</v>
      </c>
      <c r="H127" s="213" t="s">
        <v>4406</v>
      </c>
      <c r="I127" s="213">
        <v>1205</v>
      </c>
      <c r="J127" s="1">
        <f t="shared" ref="J127" si="33">I127*G127</f>
        <v>1034974.5</v>
      </c>
      <c r="K127" s="5" t="s">
        <v>4406</v>
      </c>
      <c r="L127" s="169">
        <v>1100000</v>
      </c>
      <c r="M127" s="169">
        <v>3191000</v>
      </c>
      <c r="N127" s="168">
        <f t="shared" si="30"/>
        <v>190.09090909090909</v>
      </c>
      <c r="Q127" s="35">
        <v>622942</v>
      </c>
      <c r="R127" s="5" t="s">
        <v>4675</v>
      </c>
      <c r="S127" s="5">
        <f>S126-1</f>
        <v>229</v>
      </c>
      <c r="T127" s="5" t="s">
        <v>4676</v>
      </c>
      <c r="U127" s="210">
        <v>503.3</v>
      </c>
      <c r="V127" s="99">
        <f>U127*(1+$R$104+$Q$15*S127/36500)</f>
        <v>599.36549150684937</v>
      </c>
      <c r="W127" s="32">
        <f t="shared" si="31"/>
        <v>611.35280133698632</v>
      </c>
      <c r="X127" s="32">
        <f t="shared" si="32"/>
        <v>623.34011116712338</v>
      </c>
      <c r="AH127" s="149">
        <v>107</v>
      </c>
      <c r="AI127" s="188" t="s">
        <v>4624</v>
      </c>
      <c r="AJ127" s="188">
        <v>-48200</v>
      </c>
      <c r="AK127" s="149">
        <v>0</v>
      </c>
      <c r="AL127" s="149">
        <f t="shared" ref="AL127:AL177" si="34">AL128+AK127</f>
        <v>240</v>
      </c>
      <c r="AM127" s="188">
        <f t="shared" si="29"/>
        <v>-11568000</v>
      </c>
      <c r="AN127" s="149" t="s">
        <v>4633</v>
      </c>
    </row>
    <row r="128" spans="6:46">
      <c r="F128" s="96"/>
      <c r="G128" s="1"/>
      <c r="H128" s="213" t="s">
        <v>25</v>
      </c>
      <c r="I128" s="213"/>
      <c r="J128" s="1"/>
      <c r="K128" s="5" t="s">
        <v>4531</v>
      </c>
      <c r="L128" s="169">
        <v>1100000</v>
      </c>
      <c r="M128" s="169">
        <v>5623000</v>
      </c>
      <c r="N128" s="168">
        <f t="shared" si="30"/>
        <v>411.18181818181819</v>
      </c>
      <c r="Q128" s="35">
        <v>1472140</v>
      </c>
      <c r="R128" s="5" t="s">
        <v>4681</v>
      </c>
      <c r="S128" s="5">
        <f>S127-3</f>
        <v>226</v>
      </c>
      <c r="T128" s="5" t="s">
        <v>4683</v>
      </c>
      <c r="U128" s="168">
        <v>502</v>
      </c>
      <c r="V128" s="99">
        <f>U128*(1+$R$104+$Q$15*S128/36500)</f>
        <v>596.66207123287677</v>
      </c>
      <c r="W128" s="32">
        <f t="shared" si="31"/>
        <v>608.59531265753435</v>
      </c>
      <c r="X128" s="32">
        <f t="shared" si="32"/>
        <v>620.52855408219182</v>
      </c>
      <c r="AH128" s="89">
        <v>108</v>
      </c>
      <c r="AI128" s="90" t="s">
        <v>4624</v>
      </c>
      <c r="AJ128" s="90">
        <v>39327293</v>
      </c>
      <c r="AK128" s="89">
        <v>4</v>
      </c>
      <c r="AL128" s="149">
        <f t="shared" si="34"/>
        <v>240</v>
      </c>
      <c r="AM128" s="188">
        <f t="shared" si="29"/>
        <v>9438550320</v>
      </c>
      <c r="AN128" s="89" t="s">
        <v>4634</v>
      </c>
    </row>
    <row r="129" spans="6:43">
      <c r="F129" s="96"/>
      <c r="G129" s="213"/>
      <c r="H129" s="213"/>
      <c r="I129" s="113">
        <f>J129-J124</f>
        <v>29923070.700000003</v>
      </c>
      <c r="J129" s="1">
        <f>SUM(J126:J127)</f>
        <v>42327943.700000003</v>
      </c>
      <c r="K129" s="19" t="s">
        <v>4392</v>
      </c>
      <c r="L129" s="169">
        <v>1100000</v>
      </c>
      <c r="M129" s="169">
        <v>7728000</v>
      </c>
      <c r="N129" s="168">
        <f t="shared" si="30"/>
        <v>602.5454545454545</v>
      </c>
      <c r="Q129" s="35">
        <v>2624850</v>
      </c>
      <c r="R129" s="5" t="s">
        <v>4685</v>
      </c>
      <c r="S129" s="5">
        <f>S128-1</f>
        <v>225</v>
      </c>
      <c r="T129" s="5" t="s">
        <v>5288</v>
      </c>
      <c r="U129" s="168">
        <v>481.7</v>
      </c>
      <c r="V129" s="99">
        <f>U129*(1+$R$104+$Q$15*S129/36500)</f>
        <v>572.16457972602745</v>
      </c>
      <c r="W129" s="32">
        <f t="shared" si="31"/>
        <v>583.60787132054804</v>
      </c>
      <c r="X129" s="32">
        <f t="shared" si="32"/>
        <v>595.05116291506852</v>
      </c>
      <c r="Y129" t="s">
        <v>25</v>
      </c>
      <c r="AH129" s="89">
        <v>109</v>
      </c>
      <c r="AI129" s="90" t="s">
        <v>4648</v>
      </c>
      <c r="AJ129" s="90">
        <v>8749050</v>
      </c>
      <c r="AK129" s="89">
        <v>1</v>
      </c>
      <c r="AL129" s="89">
        <f t="shared" si="34"/>
        <v>236</v>
      </c>
      <c r="AM129" s="90">
        <f t="shared" si="29"/>
        <v>2064775800</v>
      </c>
      <c r="AN129" s="89" t="s">
        <v>4649</v>
      </c>
    </row>
    <row r="130" spans="6:43">
      <c r="F130" s="96"/>
      <c r="G130" s="213"/>
      <c r="H130" s="213"/>
      <c r="I130" s="213" t="s">
        <v>916</v>
      </c>
      <c r="J130" s="213" t="s">
        <v>6</v>
      </c>
      <c r="K130" s="5" t="s">
        <v>4533</v>
      </c>
      <c r="L130" s="169">
        <v>1100000</v>
      </c>
      <c r="M130" s="169">
        <v>2904000</v>
      </c>
      <c r="N130" s="168">
        <f t="shared" si="30"/>
        <v>164</v>
      </c>
      <c r="Q130" s="169">
        <v>6150141</v>
      </c>
      <c r="R130" s="213" t="s">
        <v>4873</v>
      </c>
      <c r="S130" s="213">
        <f>S129-64</f>
        <v>161</v>
      </c>
      <c r="T130" s="213" t="s">
        <v>4880</v>
      </c>
      <c r="U130" s="213">
        <v>180.6</v>
      </c>
      <c r="V130" s="99">
        <f>U130*(1+$R$104+$Q$15*S130/36500)</f>
        <v>205.65045698630135</v>
      </c>
      <c r="W130" s="32">
        <f t="shared" si="31"/>
        <v>209.76346612602737</v>
      </c>
      <c r="X130" s="32">
        <f t="shared" si="32"/>
        <v>213.87647526575341</v>
      </c>
      <c r="Z130" t="s">
        <v>25</v>
      </c>
      <c r="AH130" s="99">
        <v>110</v>
      </c>
      <c r="AI130" s="113" t="s">
        <v>4651</v>
      </c>
      <c r="AJ130" s="113">
        <v>60000</v>
      </c>
      <c r="AK130" s="99">
        <v>1</v>
      </c>
      <c r="AL130" s="99">
        <f t="shared" si="34"/>
        <v>235</v>
      </c>
      <c r="AM130" s="117">
        <f t="shared" si="29"/>
        <v>14100000</v>
      </c>
      <c r="AN130" s="99" t="s">
        <v>4652</v>
      </c>
    </row>
    <row r="131" spans="6:43">
      <c r="G131" s="41"/>
      <c r="H131" s="41"/>
      <c r="I131" s="41"/>
      <c r="J131" s="41"/>
      <c r="K131" s="264" t="s">
        <v>1085</v>
      </c>
      <c r="L131" s="169">
        <v>1100000</v>
      </c>
      <c r="M131" s="169">
        <v>3400000</v>
      </c>
      <c r="N131" s="168">
        <f t="shared" si="30"/>
        <v>209.09090909090909</v>
      </c>
      <c r="P131" s="114"/>
      <c r="Q131" s="169">
        <v>1399908</v>
      </c>
      <c r="R131" s="213" t="s">
        <v>4943</v>
      </c>
      <c r="S131" s="213">
        <f>S130-20</f>
        <v>141</v>
      </c>
      <c r="T131" s="213" t="s">
        <v>4944</v>
      </c>
      <c r="U131" s="213">
        <v>194</v>
      </c>
      <c r="V131" s="99">
        <f>U131*(1+$R$104+$Q$15*S131/36500)</f>
        <v>217.93269041095894</v>
      </c>
      <c r="W131" s="32">
        <f t="shared" si="31"/>
        <v>222.29134421917811</v>
      </c>
      <c r="X131" s="32">
        <f t="shared" si="32"/>
        <v>226.64999802739732</v>
      </c>
      <c r="Y131" t="s">
        <v>25</v>
      </c>
      <c r="AH131" s="20">
        <v>111</v>
      </c>
      <c r="AI131" s="117" t="s">
        <v>4660</v>
      </c>
      <c r="AJ131" s="117">
        <v>4750000</v>
      </c>
      <c r="AK131" s="20">
        <v>0</v>
      </c>
      <c r="AL131" s="99">
        <f t="shared" si="34"/>
        <v>234</v>
      </c>
      <c r="AM131" s="117">
        <f t="shared" si="29"/>
        <v>1111500000</v>
      </c>
      <c r="AN131" s="20"/>
      <c r="AQ131" t="s">
        <v>25</v>
      </c>
    </row>
    <row r="132" spans="6:43">
      <c r="G132" s="213"/>
      <c r="H132" s="213" t="s">
        <v>4279</v>
      </c>
      <c r="I132" s="213" t="s">
        <v>5254</v>
      </c>
      <c r="J132" s="1">
        <v>16319143</v>
      </c>
      <c r="K132" s="243" t="s">
        <v>4562</v>
      </c>
      <c r="Q132" s="169">
        <v>1204033</v>
      </c>
      <c r="R132" s="213" t="s">
        <v>4953</v>
      </c>
      <c r="S132" s="213">
        <f>S131-7</f>
        <v>134</v>
      </c>
      <c r="T132" s="213" t="s">
        <v>4956</v>
      </c>
      <c r="U132" s="213">
        <v>218.5</v>
      </c>
      <c r="V132" s="99">
        <f>U132*(1+$R$104+$Q$15*S132/36500)</f>
        <v>244.28180273972606</v>
      </c>
      <c r="W132" s="32">
        <f t="shared" si="31"/>
        <v>249.16743879452059</v>
      </c>
      <c r="X132" s="32">
        <f t="shared" si="32"/>
        <v>254.05307484931512</v>
      </c>
      <c r="Y132" t="s">
        <v>25</v>
      </c>
      <c r="AH132" s="89">
        <v>112</v>
      </c>
      <c r="AI132" s="90" t="s">
        <v>4660</v>
      </c>
      <c r="AJ132" s="90">
        <v>13101160</v>
      </c>
      <c r="AK132" s="89">
        <v>1</v>
      </c>
      <c r="AL132" s="89">
        <f t="shared" si="34"/>
        <v>234</v>
      </c>
      <c r="AM132" s="90">
        <f t="shared" si="29"/>
        <v>3065671440</v>
      </c>
      <c r="AN132" s="89" t="s">
        <v>4663</v>
      </c>
    </row>
    <row r="133" spans="6:43">
      <c r="G133" s="1">
        <f>P54</f>
        <v>299.60000000000002</v>
      </c>
      <c r="H133" s="213" t="s">
        <v>4241</v>
      </c>
      <c r="I133" s="213">
        <v>50896</v>
      </c>
      <c r="J133" s="1">
        <f>G133*I133</f>
        <v>15248441.600000001</v>
      </c>
      <c r="K133" s="243" t="s">
        <v>4563</v>
      </c>
      <c r="Q133" s="169">
        <v>8382674</v>
      </c>
      <c r="R133" s="213" t="s">
        <v>4963</v>
      </c>
      <c r="S133" s="213">
        <f>S132-7</f>
        <v>127</v>
      </c>
      <c r="T133" s="213" t="s">
        <v>4969</v>
      </c>
      <c r="U133" s="213">
        <v>192</v>
      </c>
      <c r="V133" s="99">
        <f>U133*(1+$R$104+$Q$15*S133/36500)</f>
        <v>213.62393424657535</v>
      </c>
      <c r="W133" s="32">
        <f t="shared" si="31"/>
        <v>217.89641293150686</v>
      </c>
      <c r="X133" s="32">
        <f t="shared" si="32"/>
        <v>222.16889161643837</v>
      </c>
      <c r="AH133" s="20">
        <v>113</v>
      </c>
      <c r="AI133" s="117" t="s">
        <v>4662</v>
      </c>
      <c r="AJ133" s="117">
        <v>-980000</v>
      </c>
      <c r="AK133" s="20">
        <v>0</v>
      </c>
      <c r="AL133" s="99">
        <f t="shared" si="34"/>
        <v>233</v>
      </c>
      <c r="AM133" s="117">
        <f t="shared" si="29"/>
        <v>-228340000</v>
      </c>
      <c r="AN133" s="20"/>
    </row>
    <row r="134" spans="6:43">
      <c r="G134" s="1">
        <f>P49</f>
        <v>858.9</v>
      </c>
      <c r="H134" s="213" t="s">
        <v>4406</v>
      </c>
      <c r="I134" s="213">
        <v>2304</v>
      </c>
      <c r="J134" s="1">
        <f t="shared" ref="J134:J135" si="35">G134*I134</f>
        <v>1978905.5999999999</v>
      </c>
      <c r="K134" s="243" t="s">
        <v>4564</v>
      </c>
      <c r="Q134" s="169">
        <v>190884649</v>
      </c>
      <c r="R134" s="213" t="s">
        <v>4982</v>
      </c>
      <c r="S134" s="213">
        <f>S133-9</f>
        <v>118</v>
      </c>
      <c r="T134" s="213" t="s">
        <v>4985</v>
      </c>
      <c r="U134" s="213">
        <v>193.6</v>
      </c>
      <c r="V134" s="99">
        <f>U134*(1+$R$104+$Q$15*S134/36500)</f>
        <v>214.06749808219178</v>
      </c>
      <c r="W134" s="32">
        <f t="shared" si="31"/>
        <v>218.3488480438356</v>
      </c>
      <c r="X134" s="32">
        <f t="shared" si="32"/>
        <v>222.63019800547946</v>
      </c>
      <c r="Y134" t="s">
        <v>25</v>
      </c>
      <c r="AH134" s="89">
        <v>114</v>
      </c>
      <c r="AI134" s="90" t="s">
        <v>4662</v>
      </c>
      <c r="AJ134" s="90">
        <v>13301790</v>
      </c>
      <c r="AK134" s="89">
        <v>0</v>
      </c>
      <c r="AL134" s="89">
        <f t="shared" si="34"/>
        <v>233</v>
      </c>
      <c r="AM134" s="90">
        <f t="shared" si="29"/>
        <v>3099317070</v>
      </c>
      <c r="AN134" s="89" t="s">
        <v>4663</v>
      </c>
      <c r="AQ134" t="s">
        <v>25</v>
      </c>
    </row>
    <row r="135" spans="6:43">
      <c r="G135" s="1">
        <f>P48</f>
        <v>4873.3999999999996</v>
      </c>
      <c r="H135" s="213" t="s">
        <v>4388</v>
      </c>
      <c r="I135" s="213">
        <v>715</v>
      </c>
      <c r="J135" s="1">
        <f t="shared" si="35"/>
        <v>3484480.9999999995</v>
      </c>
      <c r="Q135" s="169">
        <v>2099962</v>
      </c>
      <c r="R135" s="213" t="s">
        <v>4984</v>
      </c>
      <c r="S135" s="213">
        <f>S134-1</f>
        <v>117</v>
      </c>
      <c r="T135" s="213" t="s">
        <v>4988</v>
      </c>
      <c r="U135" s="213">
        <v>196.5</v>
      </c>
      <c r="V135" s="99">
        <f>U135*(1+$R$104+$Q$15*S135/36500)</f>
        <v>217.1233479452055</v>
      </c>
      <c r="W135" s="32">
        <f t="shared" si="31"/>
        <v>221.46581490410961</v>
      </c>
      <c r="X135" s="32">
        <f t="shared" si="32"/>
        <v>225.80828186301372</v>
      </c>
      <c r="AH135" s="20">
        <v>115</v>
      </c>
      <c r="AI135" s="117" t="s">
        <v>4662</v>
      </c>
      <c r="AJ135" s="117">
        <v>404000</v>
      </c>
      <c r="AK135" s="20">
        <v>5</v>
      </c>
      <c r="AL135" s="99">
        <f t="shared" si="34"/>
        <v>233</v>
      </c>
      <c r="AM135" s="117">
        <f t="shared" si="29"/>
        <v>94132000</v>
      </c>
      <c r="AN135" s="20" t="s">
        <v>4670</v>
      </c>
    </row>
    <row r="136" spans="6:43">
      <c r="G136" s="213"/>
      <c r="H136" s="213"/>
      <c r="I136" s="213" t="s">
        <v>25</v>
      </c>
      <c r="J136" s="213" t="s">
        <v>25</v>
      </c>
      <c r="Q136" s="169">
        <v>130756</v>
      </c>
      <c r="R136" s="213" t="s">
        <v>4989</v>
      </c>
      <c r="S136" s="213">
        <f>S135-1</f>
        <v>116</v>
      </c>
      <c r="T136" s="213" t="s">
        <v>4990</v>
      </c>
      <c r="U136" s="213">
        <v>197.8</v>
      </c>
      <c r="V136" s="99">
        <f>U136*(1+$R$104+$Q$15*S136/36500)</f>
        <v>218.40805041095894</v>
      </c>
      <c r="W136" s="32">
        <f t="shared" si="31"/>
        <v>222.77621141917811</v>
      </c>
      <c r="X136" s="32">
        <f t="shared" si="32"/>
        <v>227.14437242739731</v>
      </c>
      <c r="Y136" t="s">
        <v>25</v>
      </c>
      <c r="AH136" s="89">
        <v>116</v>
      </c>
      <c r="AI136" s="90" t="s">
        <v>4685</v>
      </c>
      <c r="AJ136" s="90">
        <v>4291628</v>
      </c>
      <c r="AK136" s="89">
        <v>2</v>
      </c>
      <c r="AL136" s="89">
        <f t="shared" si="34"/>
        <v>228</v>
      </c>
      <c r="AM136" s="90">
        <f t="shared" si="29"/>
        <v>978491184</v>
      </c>
      <c r="AN136" s="89" t="s">
        <v>4686</v>
      </c>
    </row>
    <row r="137" spans="6:43">
      <c r="G137" s="213"/>
      <c r="H137" s="213"/>
      <c r="I137" s="113">
        <f>J137-J132</f>
        <v>4392685.200000003</v>
      </c>
      <c r="J137" s="1">
        <f>SUM(J133:J136)</f>
        <v>20711828.200000003</v>
      </c>
      <c r="Q137" s="169">
        <v>795874</v>
      </c>
      <c r="R137" s="213" t="s">
        <v>5003</v>
      </c>
      <c r="S137" s="213">
        <f>S136-6</f>
        <v>110</v>
      </c>
      <c r="T137" s="213" t="s">
        <v>5004</v>
      </c>
      <c r="U137" s="213">
        <v>198.1</v>
      </c>
      <c r="V137" s="99">
        <f>U137*(1+$R$104+$Q$15*S137/36500)</f>
        <v>217.82750356164382</v>
      </c>
      <c r="W137" s="32">
        <f t="shared" si="31"/>
        <v>222.1840536328767</v>
      </c>
      <c r="X137" s="32">
        <f t="shared" si="32"/>
        <v>226.54060370410957</v>
      </c>
      <c r="Z137" t="s">
        <v>25</v>
      </c>
      <c r="AH137" s="20">
        <v>117</v>
      </c>
      <c r="AI137" s="117" t="s">
        <v>4688</v>
      </c>
      <c r="AJ137" s="117">
        <v>1000</v>
      </c>
      <c r="AK137" s="20">
        <v>5</v>
      </c>
      <c r="AL137" s="20">
        <f t="shared" si="34"/>
        <v>226</v>
      </c>
      <c r="AM137" s="117">
        <f t="shared" si="29"/>
        <v>226000</v>
      </c>
      <c r="AN137" s="20"/>
    </row>
    <row r="138" spans="6:43">
      <c r="G138" s="213"/>
      <c r="H138" s="213"/>
      <c r="I138" s="213" t="s">
        <v>916</v>
      </c>
      <c r="J138" s="213" t="s">
        <v>6</v>
      </c>
      <c r="Q138" s="169">
        <v>400348</v>
      </c>
      <c r="R138" s="213" t="s">
        <v>5006</v>
      </c>
      <c r="S138" s="213">
        <f>S137-1</f>
        <v>109</v>
      </c>
      <c r="T138" s="213" t="s">
        <v>5008</v>
      </c>
      <c r="U138" s="213">
        <v>199.3</v>
      </c>
      <c r="V138" s="99">
        <f>U138*(1+$R$104+$Q$15*S138/36500)</f>
        <v>218.9941161643836</v>
      </c>
      <c r="W138" s="32">
        <f t="shared" si="31"/>
        <v>223.37399848767129</v>
      </c>
      <c r="X138" s="32">
        <f t="shared" si="32"/>
        <v>227.75388081095895</v>
      </c>
      <c r="Y138" t="s">
        <v>25</v>
      </c>
      <c r="AH138" s="121">
        <v>118</v>
      </c>
      <c r="AI138" s="79" t="s">
        <v>4696</v>
      </c>
      <c r="AJ138" s="79">
        <v>8739459</v>
      </c>
      <c r="AK138" s="121">
        <v>2</v>
      </c>
      <c r="AL138" s="121">
        <f t="shared" si="34"/>
        <v>221</v>
      </c>
      <c r="AM138" s="79">
        <f t="shared" si="29"/>
        <v>1931420439</v>
      </c>
      <c r="AN138" s="121" t="s">
        <v>4649</v>
      </c>
    </row>
    <row r="139" spans="6:43">
      <c r="G139" s="41"/>
      <c r="H139" s="41"/>
      <c r="I139" s="41"/>
      <c r="J139" s="41"/>
      <c r="Q139" s="169">
        <v>5896463</v>
      </c>
      <c r="R139" s="213" t="s">
        <v>5017</v>
      </c>
      <c r="S139" s="213">
        <f>S138-4</f>
        <v>105</v>
      </c>
      <c r="T139" s="213" t="s">
        <v>5018</v>
      </c>
      <c r="U139" s="213">
        <v>197.4</v>
      </c>
      <c r="V139" s="99">
        <f>U139*(1+$R$104+$Q$15*S139/36500)</f>
        <v>216.30064438356166</v>
      </c>
      <c r="W139" s="32">
        <f t="shared" si="31"/>
        <v>220.62665727123289</v>
      </c>
      <c r="X139" s="32">
        <f t="shared" si="32"/>
        <v>224.95267015890414</v>
      </c>
      <c r="AH139" s="121">
        <v>119</v>
      </c>
      <c r="AI139" s="79" t="s">
        <v>4697</v>
      </c>
      <c r="AJ139" s="79">
        <v>17595278</v>
      </c>
      <c r="AK139" s="121">
        <v>1</v>
      </c>
      <c r="AL139" s="121">
        <f t="shared" si="34"/>
        <v>219</v>
      </c>
      <c r="AM139" s="79">
        <f t="shared" si="29"/>
        <v>3853365882</v>
      </c>
      <c r="AN139" s="121" t="s">
        <v>4699</v>
      </c>
      <c r="AQ139" t="s">
        <v>25</v>
      </c>
    </row>
    <row r="140" spans="6:43">
      <c r="G140" s="213"/>
      <c r="H140" s="213" t="s">
        <v>5252</v>
      </c>
      <c r="I140" s="213" t="s">
        <v>5255</v>
      </c>
      <c r="J140" s="1">
        <v>19795000</v>
      </c>
      <c r="M140">
        <v>236</v>
      </c>
      <c r="N140">
        <v>3</v>
      </c>
      <c r="O140">
        <f>M140*N140</f>
        <v>708</v>
      </c>
      <c r="Q140" s="169">
        <v>1499873</v>
      </c>
      <c r="R140" s="213" t="s">
        <v>5031</v>
      </c>
      <c r="S140" s="213">
        <f>S139-8</f>
        <v>97</v>
      </c>
      <c r="T140" s="213" t="s">
        <v>5035</v>
      </c>
      <c r="U140" s="213">
        <v>200.1</v>
      </c>
      <c r="V140" s="99">
        <f>U140*(1+$R$104+$Q$15*S140/36500)</f>
        <v>218.03115287671233</v>
      </c>
      <c r="W140" s="32">
        <f t="shared" si="31"/>
        <v>222.39177593424657</v>
      </c>
      <c r="X140" s="32">
        <f t="shared" si="32"/>
        <v>226.75239899178084</v>
      </c>
      <c r="Z140" t="s">
        <v>25</v>
      </c>
      <c r="AH140" s="121">
        <v>120</v>
      </c>
      <c r="AI140" s="79" t="s">
        <v>4698</v>
      </c>
      <c r="AJ140" s="79">
        <v>13335309</v>
      </c>
      <c r="AK140" s="121">
        <v>13</v>
      </c>
      <c r="AL140" s="121">
        <f t="shared" si="34"/>
        <v>218</v>
      </c>
      <c r="AM140" s="79">
        <f t="shared" si="29"/>
        <v>2907097362</v>
      </c>
      <c r="AN140" s="121" t="s">
        <v>4663</v>
      </c>
    </row>
    <row r="141" spans="6:43">
      <c r="G141" s="1">
        <f>P54</f>
        <v>299.60000000000002</v>
      </c>
      <c r="H141" s="213" t="s">
        <v>4241</v>
      </c>
      <c r="I141" s="213">
        <v>46582</v>
      </c>
      <c r="J141" s="1">
        <f>G141*I141</f>
        <v>13955967.200000001</v>
      </c>
      <c r="K141" t="s">
        <v>25</v>
      </c>
      <c r="M141">
        <v>126</v>
      </c>
      <c r="N141">
        <v>1</v>
      </c>
      <c r="O141">
        <f>M141*N141</f>
        <v>126</v>
      </c>
      <c r="Q141" s="169">
        <v>25141103</v>
      </c>
      <c r="R141" s="213" t="s">
        <v>5057</v>
      </c>
      <c r="S141" s="213">
        <f>S140-7</f>
        <v>90</v>
      </c>
      <c r="T141" s="213" t="s">
        <v>5060</v>
      </c>
      <c r="U141" s="213">
        <v>211.3</v>
      </c>
      <c r="V141" s="99">
        <f>U141*(1+$R$104+$Q$15*S141/36500)</f>
        <v>229.1001435616439</v>
      </c>
      <c r="W141" s="32">
        <f t="shared" si="31"/>
        <v>233.68214643287678</v>
      </c>
      <c r="X141" s="32">
        <f t="shared" si="32"/>
        <v>238.26414930410968</v>
      </c>
      <c r="Y141" t="s">
        <v>25</v>
      </c>
      <c r="AA141" t="s">
        <v>25</v>
      </c>
      <c r="AH141" s="161">
        <v>121</v>
      </c>
      <c r="AI141" s="228" t="s">
        <v>4753</v>
      </c>
      <c r="AJ141" s="228">
        <v>50000000</v>
      </c>
      <c r="AK141" s="161">
        <v>11</v>
      </c>
      <c r="AL141" s="161">
        <f t="shared" si="34"/>
        <v>205</v>
      </c>
      <c r="AM141" s="228">
        <f t="shared" si="29"/>
        <v>10250000000</v>
      </c>
      <c r="AN141" s="161" t="s">
        <v>4755</v>
      </c>
      <c r="AP141" t="s">
        <v>25</v>
      </c>
    </row>
    <row r="142" spans="6:43">
      <c r="G142" s="213"/>
      <c r="H142" s="213" t="s">
        <v>338</v>
      </c>
      <c r="I142" s="213"/>
      <c r="J142" s="1">
        <v>10000000</v>
      </c>
      <c r="L142">
        <v>821</v>
      </c>
      <c r="M142">
        <v>590</v>
      </c>
      <c r="N142">
        <v>0</v>
      </c>
      <c r="O142" s="96">
        <f>M142*N142</f>
        <v>0</v>
      </c>
      <c r="Q142" s="169">
        <v>120581</v>
      </c>
      <c r="R142" s="213" t="s">
        <v>5061</v>
      </c>
      <c r="S142" s="213">
        <f>S141-1</f>
        <v>89</v>
      </c>
      <c r="T142" s="213" t="s">
        <v>5062</v>
      </c>
      <c r="U142" s="213">
        <v>210.2</v>
      </c>
      <c r="V142" s="99">
        <f>U142*(1+$R$104+$Q$15*S142/36500)</f>
        <v>227.74622904109589</v>
      </c>
      <c r="W142" s="32">
        <f t="shared" si="31"/>
        <v>232.30115362191782</v>
      </c>
      <c r="X142" s="32">
        <f t="shared" si="32"/>
        <v>236.85607820273972</v>
      </c>
      <c r="Y142" t="s">
        <v>25</v>
      </c>
      <c r="AH142" s="20">
        <v>122</v>
      </c>
      <c r="AI142" s="117" t="s">
        <v>973</v>
      </c>
      <c r="AJ142" s="117">
        <v>30000</v>
      </c>
      <c r="AK142" s="20">
        <v>3</v>
      </c>
      <c r="AL142" s="20">
        <f t="shared" si="34"/>
        <v>194</v>
      </c>
      <c r="AM142" s="117">
        <f t="shared" si="29"/>
        <v>5820000</v>
      </c>
      <c r="AN142" s="20"/>
    </row>
    <row r="143" spans="6:43">
      <c r="G143" s="213"/>
      <c r="H143" s="213"/>
      <c r="I143" s="1">
        <f>J143-J140</f>
        <v>4160967.200000003</v>
      </c>
      <c r="J143" s="1">
        <f>SUM(J141:J142)</f>
        <v>23955967.200000003</v>
      </c>
      <c r="K143" t="s">
        <v>25</v>
      </c>
      <c r="Q143" s="169">
        <v>500951</v>
      </c>
      <c r="R143" s="213" t="s">
        <v>5061</v>
      </c>
      <c r="S143" s="213">
        <f>S142</f>
        <v>89</v>
      </c>
      <c r="T143" s="213" t="s">
        <v>5066</v>
      </c>
      <c r="U143" s="213">
        <v>209.6</v>
      </c>
      <c r="V143" s="99">
        <f>U143*(1+$R$104+$Q$15*S143/36500)</f>
        <v>227.09614465753427</v>
      </c>
      <c r="W143" s="32">
        <f t="shared" si="31"/>
        <v>231.63806755068495</v>
      </c>
      <c r="X143" s="32">
        <f t="shared" si="32"/>
        <v>236.17999044383564</v>
      </c>
      <c r="Y143" t="s">
        <v>25</v>
      </c>
      <c r="AH143" s="20">
        <v>123</v>
      </c>
      <c r="AI143" s="117" t="s">
        <v>4817</v>
      </c>
      <c r="AJ143" s="117">
        <v>600000</v>
      </c>
      <c r="AK143" s="20">
        <v>1</v>
      </c>
      <c r="AL143" s="20">
        <f t="shared" si="34"/>
        <v>191</v>
      </c>
      <c r="AM143" s="117">
        <f t="shared" si="29"/>
        <v>114600000</v>
      </c>
      <c r="AN143" s="20"/>
    </row>
    <row r="144" spans="6:43">
      <c r="G144" s="213"/>
      <c r="H144" s="213"/>
      <c r="I144" s="213" t="s">
        <v>916</v>
      </c>
      <c r="J144" s="213" t="s">
        <v>6</v>
      </c>
      <c r="O144">
        <f>O140+O141+O142</f>
        <v>834</v>
      </c>
      <c r="Q144" s="169">
        <v>493081</v>
      </c>
      <c r="R144" s="213" t="s">
        <v>5069</v>
      </c>
      <c r="S144" s="213">
        <f>S143-1</f>
        <v>88</v>
      </c>
      <c r="T144" s="213" t="s">
        <v>5071</v>
      </c>
      <c r="U144" s="213">
        <v>205.1</v>
      </c>
      <c r="V144" s="99">
        <f>U144*(1+$R$104+$Q$15*S144/36500)</f>
        <v>222.06317479452056</v>
      </c>
      <c r="W144" s="32">
        <f t="shared" si="31"/>
        <v>226.50443829041097</v>
      </c>
      <c r="X144" s="32">
        <f t="shared" si="32"/>
        <v>230.94570178630138</v>
      </c>
      <c r="Y144" t="s">
        <v>25</v>
      </c>
      <c r="AH144" s="20">
        <v>124</v>
      </c>
      <c r="AI144" s="117" t="s">
        <v>4824</v>
      </c>
      <c r="AJ144" s="117">
        <v>30000</v>
      </c>
      <c r="AK144" s="20">
        <v>3</v>
      </c>
      <c r="AL144" s="20">
        <f t="shared" si="34"/>
        <v>190</v>
      </c>
      <c r="AM144" s="117">
        <f t="shared" si="29"/>
        <v>5700000</v>
      </c>
      <c r="AN144" s="20"/>
    </row>
    <row r="145" spans="6:44">
      <c r="Q145" s="169">
        <v>43287917</v>
      </c>
      <c r="R145" s="213" t="s">
        <v>5073</v>
      </c>
      <c r="S145" s="213">
        <f>S144-3</f>
        <v>85</v>
      </c>
      <c r="T145" s="213" t="s">
        <v>5096</v>
      </c>
      <c r="U145" s="213">
        <v>203.6</v>
      </c>
      <c r="V145" s="99">
        <f>U145*(1+$R$104+$Q$15*S145/36500)</f>
        <v>219.97055561643836</v>
      </c>
      <c r="W145" s="32">
        <f t="shared" si="31"/>
        <v>224.36996672876714</v>
      </c>
      <c r="X145" s="32">
        <f t="shared" si="32"/>
        <v>228.76937784109592</v>
      </c>
      <c r="Y145" s="122" t="s">
        <v>25</v>
      </c>
      <c r="AH145" s="20">
        <v>125</v>
      </c>
      <c r="AI145" s="117" t="s">
        <v>4831</v>
      </c>
      <c r="AJ145" s="117">
        <v>2250000</v>
      </c>
      <c r="AK145" s="20">
        <v>1</v>
      </c>
      <c r="AL145" s="20">
        <f t="shared" si="34"/>
        <v>187</v>
      </c>
      <c r="AM145" s="117">
        <f t="shared" ref="AM145:AM147" si="36">AJ145*AL145</f>
        <v>420750000</v>
      </c>
      <c r="AN145" s="20"/>
      <c r="AR145" t="s">
        <v>25</v>
      </c>
    </row>
    <row r="146" spans="6:44">
      <c r="Q146" s="169">
        <v>3195995</v>
      </c>
      <c r="R146" s="213" t="s">
        <v>5100</v>
      </c>
      <c r="S146" s="213">
        <f>S145-11</f>
        <v>74</v>
      </c>
      <c r="T146" s="213" t="s">
        <v>5101</v>
      </c>
      <c r="U146" s="213">
        <v>228</v>
      </c>
      <c r="V146" s="99">
        <f>U146*(1+$R$104+$Q$15*S146/36500)</f>
        <v>244.40850410958905</v>
      </c>
      <c r="W146" s="32">
        <f t="shared" si="31"/>
        <v>249.29667419178082</v>
      </c>
      <c r="X146" s="32">
        <f t="shared" si="32"/>
        <v>254.18484427397263</v>
      </c>
      <c r="AH146" s="23">
        <v>126</v>
      </c>
      <c r="AI146" s="35" t="s">
        <v>4836</v>
      </c>
      <c r="AJ146" s="35">
        <v>-31412200</v>
      </c>
      <c r="AK146" s="23">
        <v>1</v>
      </c>
      <c r="AL146" s="20">
        <f t="shared" si="34"/>
        <v>186</v>
      </c>
      <c r="AM146" s="35">
        <f t="shared" si="36"/>
        <v>-5842669200</v>
      </c>
      <c r="AN146" s="23" t="s">
        <v>4819</v>
      </c>
    </row>
    <row r="147" spans="6:44">
      <c r="Q147" s="169">
        <v>5897690</v>
      </c>
      <c r="R147" s="213" t="s">
        <v>5110</v>
      </c>
      <c r="S147" s="213">
        <f>S146-10</f>
        <v>64</v>
      </c>
      <c r="T147" s="213" t="s">
        <v>5113</v>
      </c>
      <c r="U147" s="213">
        <v>236</v>
      </c>
      <c r="V147" s="99">
        <f>U147*(1+$R$104+$Q$15*S147/36500)</f>
        <v>251.17383013698631</v>
      </c>
      <c r="W147" s="32">
        <f t="shared" si="31"/>
        <v>256.19730673972606</v>
      </c>
      <c r="X147" s="32">
        <f t="shared" si="32"/>
        <v>261.22078334246578</v>
      </c>
      <c r="Z147" s="96"/>
      <c r="AH147" s="20">
        <v>127</v>
      </c>
      <c r="AI147" s="117" t="s">
        <v>4845</v>
      </c>
      <c r="AJ147" s="117">
        <v>70000</v>
      </c>
      <c r="AK147" s="20">
        <v>9</v>
      </c>
      <c r="AL147" s="20">
        <f t="shared" si="34"/>
        <v>185</v>
      </c>
      <c r="AM147" s="117">
        <f t="shared" si="36"/>
        <v>12950000</v>
      </c>
      <c r="AN147" s="20"/>
    </row>
    <row r="148" spans="6:44">
      <c r="Q148" s="169">
        <v>1203628</v>
      </c>
      <c r="R148" s="213" t="s">
        <v>5117</v>
      </c>
      <c r="S148" s="213">
        <f>S147-2</f>
        <v>62</v>
      </c>
      <c r="T148" s="213" t="s">
        <v>5118</v>
      </c>
      <c r="U148" s="213">
        <v>235.1</v>
      </c>
      <c r="V148" s="99">
        <f>U148*(1+$R$104+$Q$15*S148/36500)</f>
        <v>249.85526246575341</v>
      </c>
      <c r="W148" s="32">
        <f t="shared" ref="W148:W160" si="37">V148*(1+$W$19/100)</f>
        <v>254.85236771506848</v>
      </c>
      <c r="X148" s="32">
        <f t="shared" ref="X148:X160" si="38">V148*(1+$X$19/100)</f>
        <v>259.84947296438355</v>
      </c>
      <c r="Z148" s="96"/>
      <c r="AH148" s="99">
        <v>128</v>
      </c>
      <c r="AI148" s="113" t="s">
        <v>4852</v>
      </c>
      <c r="AJ148" s="113">
        <v>20000</v>
      </c>
      <c r="AK148" s="99">
        <v>10</v>
      </c>
      <c r="AL148" s="20">
        <f t="shared" si="34"/>
        <v>176</v>
      </c>
      <c r="AM148" s="117">
        <f t="shared" ref="AM148:AM149" si="39">AJ148*AL148</f>
        <v>3520000</v>
      </c>
      <c r="AN148" s="20"/>
      <c r="AP148" t="s">
        <v>25</v>
      </c>
    </row>
    <row r="149" spans="6:44">
      <c r="P149" s="114" t="s">
        <v>25</v>
      </c>
      <c r="Q149" s="169">
        <v>2598983</v>
      </c>
      <c r="R149" s="213" t="s">
        <v>5115</v>
      </c>
      <c r="S149" s="213">
        <f>S148-2</f>
        <v>60</v>
      </c>
      <c r="T149" s="213" t="s">
        <v>5124</v>
      </c>
      <c r="U149" s="213">
        <v>233.2</v>
      </c>
      <c r="V149" s="99">
        <f>U149*(1+$R$104+$Q$15*S149/36500)</f>
        <v>247.47822904109591</v>
      </c>
      <c r="W149" s="32">
        <f t="shared" si="37"/>
        <v>252.42779362191783</v>
      </c>
      <c r="X149" s="32">
        <f t="shared" si="38"/>
        <v>257.37735820273974</v>
      </c>
      <c r="Z149" s="96"/>
      <c r="AH149" s="99">
        <v>129</v>
      </c>
      <c r="AI149" s="113" t="s">
        <v>4872</v>
      </c>
      <c r="AJ149" s="113">
        <v>1000000</v>
      </c>
      <c r="AK149" s="99">
        <v>1</v>
      </c>
      <c r="AL149" s="20">
        <f t="shared" si="34"/>
        <v>166</v>
      </c>
      <c r="AM149" s="117">
        <f t="shared" si="39"/>
        <v>166000000</v>
      </c>
      <c r="AN149" s="20"/>
    </row>
    <row r="150" spans="6:44">
      <c r="Q150" s="169">
        <v>8061801</v>
      </c>
      <c r="R150" s="213" t="s">
        <v>5116</v>
      </c>
      <c r="S150" s="213">
        <f>S149-6</f>
        <v>54</v>
      </c>
      <c r="T150" s="213" t="s">
        <v>5127</v>
      </c>
      <c r="U150" s="213">
        <v>240.4</v>
      </c>
      <c r="V150" s="99">
        <f>U150*(1+$R$104+$Q$15*S150/36500)</f>
        <v>254.01256767123289</v>
      </c>
      <c r="W150" s="32">
        <f t="shared" si="37"/>
        <v>259.09281902465756</v>
      </c>
      <c r="X150" s="32">
        <f t="shared" si="38"/>
        <v>264.17307037808223</v>
      </c>
      <c r="Y150" t="s">
        <v>25</v>
      </c>
      <c r="Z150" s="96"/>
      <c r="AA150" s="114"/>
      <c r="AC150" s="114"/>
      <c r="AD150" s="114"/>
      <c r="AH150" s="99">
        <v>130</v>
      </c>
      <c r="AI150" s="113" t="s">
        <v>4873</v>
      </c>
      <c r="AJ150" s="113">
        <v>65630227</v>
      </c>
      <c r="AK150" s="99">
        <v>0</v>
      </c>
      <c r="AL150" s="20">
        <f t="shared" si="34"/>
        <v>165</v>
      </c>
      <c r="AM150" s="117">
        <f t="shared" ref="AM150:AM177" si="40">AJ150*AL150</f>
        <v>10828987455</v>
      </c>
      <c r="AN150" s="20" t="s">
        <v>4877</v>
      </c>
      <c r="AP150" t="s">
        <v>25</v>
      </c>
      <c r="AR150" t="s">
        <v>25</v>
      </c>
    </row>
    <row r="151" spans="6:44">
      <c r="F151" t="s">
        <v>4820</v>
      </c>
      <c r="Q151" s="169">
        <v>48634177</v>
      </c>
      <c r="R151" s="213" t="s">
        <v>5132</v>
      </c>
      <c r="S151" s="213">
        <f>S150-1</f>
        <v>53</v>
      </c>
      <c r="T151" s="213" t="s">
        <v>5134</v>
      </c>
      <c r="U151" s="213">
        <v>241.4</v>
      </c>
      <c r="V151" s="99">
        <f>U151*(1+$R$104+$Q$15*S151/36500)</f>
        <v>254.88400876712333</v>
      </c>
      <c r="W151" s="32">
        <f t="shared" si="37"/>
        <v>259.98168894246578</v>
      </c>
      <c r="X151" s="32">
        <f t="shared" si="38"/>
        <v>265.07936911780826</v>
      </c>
      <c r="Z151" s="96"/>
      <c r="AA151" s="114"/>
      <c r="AC151" s="114"/>
      <c r="AH151" s="99">
        <v>131</v>
      </c>
      <c r="AI151" s="113" t="s">
        <v>4873</v>
      </c>
      <c r="AJ151" s="113">
        <v>-3500000</v>
      </c>
      <c r="AK151" s="99">
        <v>6</v>
      </c>
      <c r="AL151" s="20">
        <f t="shared" si="34"/>
        <v>165</v>
      </c>
      <c r="AM151" s="117">
        <f t="shared" si="40"/>
        <v>-577500000</v>
      </c>
      <c r="AN151" s="20" t="s">
        <v>4876</v>
      </c>
    </row>
    <row r="152" spans="6:44">
      <c r="Q152" s="169">
        <v>5759889</v>
      </c>
      <c r="R152" s="213" t="s">
        <v>5133</v>
      </c>
      <c r="S152" s="213">
        <f>S151-3</f>
        <v>50</v>
      </c>
      <c r="T152" s="213" t="s">
        <v>5287</v>
      </c>
      <c r="U152" s="213">
        <v>237.8</v>
      </c>
      <c r="V152" s="99">
        <f>U152*(1+$R$104+$Q$15*S152/36500)</f>
        <v>250.53565589041102</v>
      </c>
      <c r="W152" s="32">
        <f t="shared" si="37"/>
        <v>255.54636900821924</v>
      </c>
      <c r="X152" s="32">
        <f t="shared" si="38"/>
        <v>260.55708212602747</v>
      </c>
      <c r="Y152" t="s">
        <v>25</v>
      </c>
      <c r="Z152" s="96"/>
      <c r="AA152" s="114"/>
      <c r="AC152" s="114"/>
      <c r="AD152" s="114"/>
      <c r="AH152" s="99">
        <v>132</v>
      </c>
      <c r="AI152" s="113" t="s">
        <v>4887</v>
      </c>
      <c r="AJ152" s="113">
        <v>2520000</v>
      </c>
      <c r="AK152" s="99">
        <v>12</v>
      </c>
      <c r="AL152" s="20">
        <f t="shared" si="34"/>
        <v>159</v>
      </c>
      <c r="AM152" s="117">
        <f t="shared" si="40"/>
        <v>400680000</v>
      </c>
      <c r="AN152" s="20"/>
    </row>
    <row r="153" spans="6:44">
      <c r="G153">
        <v>1200</v>
      </c>
      <c r="H153" t="s">
        <v>4821</v>
      </c>
      <c r="Q153" s="169">
        <v>6188</v>
      </c>
      <c r="R153" s="213" t="s">
        <v>5191</v>
      </c>
      <c r="S153" s="213">
        <f>S152-30</f>
        <v>20</v>
      </c>
      <c r="T153" s="213" t="s">
        <v>5261</v>
      </c>
      <c r="U153" s="213">
        <v>6160</v>
      </c>
      <c r="V153" s="99">
        <f>U153*(1+$R$104+$Q$15*S153/36500)</f>
        <v>6348.1415890410963</v>
      </c>
      <c r="W153" s="32">
        <f t="shared" si="37"/>
        <v>6475.1044208219182</v>
      </c>
      <c r="X153" s="32">
        <f t="shared" si="38"/>
        <v>6602.0672526027402</v>
      </c>
      <c r="Y153" s="96" t="s">
        <v>25</v>
      </c>
      <c r="Z153" s="96"/>
      <c r="AH153" s="99">
        <v>133</v>
      </c>
      <c r="AI153" s="113" t="s">
        <v>4922</v>
      </c>
      <c r="AJ153" s="113">
        <v>1400000</v>
      </c>
      <c r="AK153" s="99">
        <v>4</v>
      </c>
      <c r="AL153" s="20">
        <f t="shared" si="34"/>
        <v>147</v>
      </c>
      <c r="AM153" s="117">
        <f t="shared" si="40"/>
        <v>205800000</v>
      </c>
      <c r="AN153" s="20"/>
    </row>
    <row r="154" spans="6:44">
      <c r="G154">
        <v>1350</v>
      </c>
      <c r="H154" t="s">
        <v>4822</v>
      </c>
      <c r="Q154" s="169">
        <v>103105</v>
      </c>
      <c r="R154" s="213" t="s">
        <v>5256</v>
      </c>
      <c r="S154" s="213">
        <f>S153-21</f>
        <v>-1</v>
      </c>
      <c r="T154" s="213" t="s">
        <v>5257</v>
      </c>
      <c r="U154" s="213">
        <v>4665</v>
      </c>
      <c r="V154" s="99">
        <f>U154*(1+$R$104+$Q$15*S154/36500)</f>
        <v>4732.329369863015</v>
      </c>
      <c r="W154" s="32">
        <f t="shared" si="37"/>
        <v>4826.9759572602752</v>
      </c>
      <c r="X154" s="32">
        <f t="shared" si="38"/>
        <v>4921.6225446575354</v>
      </c>
      <c r="Y154" s="122" t="s">
        <v>25</v>
      </c>
      <c r="Z154" s="96"/>
      <c r="AH154" s="99">
        <v>134</v>
      </c>
      <c r="AI154" s="113" t="s">
        <v>4947</v>
      </c>
      <c r="AJ154" s="113">
        <v>1550000</v>
      </c>
      <c r="AK154" s="99">
        <v>2</v>
      </c>
      <c r="AL154" s="20">
        <f t="shared" si="34"/>
        <v>143</v>
      </c>
      <c r="AM154" s="117">
        <f t="shared" si="40"/>
        <v>221650000</v>
      </c>
      <c r="AN154" s="20"/>
    </row>
    <row r="155" spans="6:44">
      <c r="G155">
        <v>1050</v>
      </c>
      <c r="H155" t="s">
        <v>4823</v>
      </c>
      <c r="Q155" s="169">
        <v>493426</v>
      </c>
      <c r="R155" s="213" t="s">
        <v>5265</v>
      </c>
      <c r="S155" s="213">
        <f>S154-6</f>
        <v>-7</v>
      </c>
      <c r="T155" s="213" t="s">
        <v>5268</v>
      </c>
      <c r="U155" s="213">
        <v>3023.7</v>
      </c>
      <c r="V155" s="99">
        <f>U155*(1+$R$104+$Q$15*S155/36500)</f>
        <v>3053.4233852054795</v>
      </c>
      <c r="W155" s="32">
        <f t="shared" si="37"/>
        <v>3114.4918529095889</v>
      </c>
      <c r="X155" s="32">
        <f t="shared" si="38"/>
        <v>3175.5603206136989</v>
      </c>
      <c r="Y155" s="96"/>
      <c r="Z155" s="96"/>
      <c r="AH155" s="99">
        <v>135</v>
      </c>
      <c r="AI155" s="113" t="s">
        <v>4894</v>
      </c>
      <c r="AJ155" s="113">
        <v>250000</v>
      </c>
      <c r="AK155" s="99">
        <v>6</v>
      </c>
      <c r="AL155" s="20">
        <f t="shared" si="34"/>
        <v>141</v>
      </c>
      <c r="AM155" s="117">
        <f t="shared" si="40"/>
        <v>35250000</v>
      </c>
      <c r="AN155" s="20"/>
    </row>
    <row r="156" spans="6:44">
      <c r="Q156" s="169">
        <v>635539</v>
      </c>
      <c r="R156" s="213" t="s">
        <v>5281</v>
      </c>
      <c r="S156" s="213">
        <f>S155-3</f>
        <v>-10</v>
      </c>
      <c r="T156" s="213" t="s">
        <v>5284</v>
      </c>
      <c r="U156" s="213">
        <v>4866.2</v>
      </c>
      <c r="V156" s="99">
        <f>U156*(1+$R$104+$Q$15*S156/36500)</f>
        <v>4902.8364865753429</v>
      </c>
      <c r="W156" s="32">
        <f t="shared" si="37"/>
        <v>5000.8932163068494</v>
      </c>
      <c r="X156" s="32">
        <f t="shared" si="38"/>
        <v>5098.9499460383568</v>
      </c>
      <c r="Y156" s="122" t="s">
        <v>25</v>
      </c>
      <c r="Z156" s="96"/>
      <c r="AH156" s="99">
        <v>136</v>
      </c>
      <c r="AI156" s="113" t="s">
        <v>4957</v>
      </c>
      <c r="AJ156" s="113">
        <v>-48527480</v>
      </c>
      <c r="AK156" s="99">
        <v>14</v>
      </c>
      <c r="AL156" s="20">
        <f t="shared" si="34"/>
        <v>135</v>
      </c>
      <c r="AM156" s="117">
        <f t="shared" si="40"/>
        <v>-6551209800</v>
      </c>
      <c r="AN156" s="20" t="s">
        <v>4959</v>
      </c>
    </row>
    <row r="157" spans="6:44">
      <c r="Q157" s="169">
        <v>609957</v>
      </c>
      <c r="R157" s="213" t="s">
        <v>5281</v>
      </c>
      <c r="S157" s="213">
        <f>S156</f>
        <v>-10</v>
      </c>
      <c r="T157" s="213" t="s">
        <v>5285</v>
      </c>
      <c r="U157" s="213">
        <v>281.7</v>
      </c>
      <c r="V157" s="99">
        <f>U157*(1+$R$104+$Q$15*S157/36500)</f>
        <v>283.82085369863017</v>
      </c>
      <c r="W157" s="32">
        <f t="shared" si="37"/>
        <v>289.4972707726028</v>
      </c>
      <c r="X157" s="32">
        <f t="shared" si="38"/>
        <v>295.17368784657538</v>
      </c>
      <c r="Y157" s="96"/>
      <c r="Z157" s="96"/>
      <c r="AH157" s="99">
        <v>137</v>
      </c>
      <c r="AI157" s="113" t="s">
        <v>4984</v>
      </c>
      <c r="AJ157" s="113">
        <v>2100000</v>
      </c>
      <c r="AK157" s="99">
        <v>1</v>
      </c>
      <c r="AL157" s="20">
        <f t="shared" si="34"/>
        <v>121</v>
      </c>
      <c r="AM157" s="117">
        <f t="shared" si="40"/>
        <v>254100000</v>
      </c>
      <c r="AN157" s="20"/>
    </row>
    <row r="158" spans="6:44">
      <c r="Q158" s="169">
        <v>100961</v>
      </c>
      <c r="R158" s="213" t="s">
        <v>5281</v>
      </c>
      <c r="S158" s="213">
        <f>S157</f>
        <v>-10</v>
      </c>
      <c r="T158" s="213" t="s">
        <v>5286</v>
      </c>
      <c r="U158" s="213">
        <v>308.3</v>
      </c>
      <c r="V158" s="99">
        <f>U158*(1+$R$104+$Q$15*S158/36500)</f>
        <v>310.62111890410961</v>
      </c>
      <c r="W158" s="32">
        <f t="shared" si="37"/>
        <v>316.83354128219179</v>
      </c>
      <c r="X158" s="32">
        <f t="shared" si="38"/>
        <v>323.04596366027403</v>
      </c>
      <c r="Y158" s="96"/>
      <c r="Z158" s="96"/>
      <c r="AH158" s="99">
        <v>138</v>
      </c>
      <c r="AI158" s="113" t="s">
        <v>4989</v>
      </c>
      <c r="AJ158" s="113">
        <v>100000</v>
      </c>
      <c r="AK158" s="99">
        <v>4</v>
      </c>
      <c r="AL158" s="20">
        <f>AL159+AK158</f>
        <v>120</v>
      </c>
      <c r="AM158" s="117">
        <f t="shared" si="40"/>
        <v>12000000</v>
      </c>
      <c r="AN158" s="20"/>
      <c r="AQ158" t="s">
        <v>25</v>
      </c>
    </row>
    <row r="159" spans="6:44">
      <c r="Q159" s="169">
        <v>298455</v>
      </c>
      <c r="R159" s="213" t="s">
        <v>5281</v>
      </c>
      <c r="S159" s="213">
        <f>S158</f>
        <v>-10</v>
      </c>
      <c r="T159" s="213" t="s">
        <v>5290</v>
      </c>
      <c r="U159" s="213">
        <v>199</v>
      </c>
      <c r="V159" s="99">
        <f>U159*(1+$R$104+$Q$15*S159/36500)</f>
        <v>200.49822465753425</v>
      </c>
      <c r="W159" s="32">
        <f t="shared" si="37"/>
        <v>204.50818915068493</v>
      </c>
      <c r="X159" s="32">
        <f t="shared" si="38"/>
        <v>208.51815364383563</v>
      </c>
      <c r="Y159" s="96" t="s">
        <v>25</v>
      </c>
      <c r="Z159" s="96"/>
      <c r="AH159" s="99">
        <v>139</v>
      </c>
      <c r="AI159" s="113" t="s">
        <v>4996</v>
      </c>
      <c r="AJ159" s="113">
        <v>900000</v>
      </c>
      <c r="AK159" s="99">
        <v>0</v>
      </c>
      <c r="AL159" s="20">
        <f t="shared" ref="AL159:AL168" si="41">AL160+AK159</f>
        <v>116</v>
      </c>
      <c r="AM159" s="117">
        <f t="shared" ref="AM159:AM168" si="42">AJ159*AL159</f>
        <v>104400000</v>
      </c>
      <c r="AN159" s="20"/>
      <c r="AP159" t="s">
        <v>25</v>
      </c>
    </row>
    <row r="160" spans="6:44">
      <c r="Q160" s="169">
        <v>597270</v>
      </c>
      <c r="R160" s="213" t="s">
        <v>5281</v>
      </c>
      <c r="S160" s="213">
        <f>S159</f>
        <v>-10</v>
      </c>
      <c r="T160" s="213" t="s">
        <v>5292</v>
      </c>
      <c r="U160" s="213">
        <v>2982.9</v>
      </c>
      <c r="V160" s="99">
        <f>U160*(1+$R$104+$Q$15*S160/36500)</f>
        <v>3005.3575594520553</v>
      </c>
      <c r="W160" s="32">
        <f t="shared" si="37"/>
        <v>3065.4647106410966</v>
      </c>
      <c r="X160" s="32">
        <f t="shared" si="38"/>
        <v>3125.5718618301375</v>
      </c>
      <c r="Y160" s="96"/>
      <c r="AH160" s="99">
        <v>140</v>
      </c>
      <c r="AI160" s="113" t="s">
        <v>4996</v>
      </c>
      <c r="AJ160" s="113">
        <v>1100000</v>
      </c>
      <c r="AK160" s="99">
        <v>0</v>
      </c>
      <c r="AL160" s="20">
        <f t="shared" si="41"/>
        <v>116</v>
      </c>
      <c r="AM160" s="117">
        <f t="shared" si="42"/>
        <v>127600000</v>
      </c>
      <c r="AN160" s="20" t="s">
        <v>5015</v>
      </c>
      <c r="AQ160" t="s">
        <v>25</v>
      </c>
    </row>
    <row r="161" spans="15:43">
      <c r="Q161" s="169"/>
      <c r="R161" s="213"/>
      <c r="S161" s="213"/>
      <c r="T161" s="213"/>
      <c r="U161" s="213"/>
      <c r="V161" s="99"/>
      <c r="W161" s="32"/>
      <c r="X161" s="32"/>
      <c r="Y161" s="96"/>
      <c r="AH161" s="99">
        <v>141</v>
      </c>
      <c r="AI161" s="113" t="s">
        <v>4996</v>
      </c>
      <c r="AJ161" s="113">
        <v>115000</v>
      </c>
      <c r="AK161" s="99"/>
      <c r="AL161" s="20">
        <f t="shared" si="41"/>
        <v>116</v>
      </c>
      <c r="AM161" s="117">
        <f t="shared" si="42"/>
        <v>13340000</v>
      </c>
      <c r="AN161" s="20"/>
      <c r="AQ161" t="s">
        <v>25</v>
      </c>
    </row>
    <row r="162" spans="15:43">
      <c r="P162" s="114"/>
      <c r="Q162" s="169"/>
      <c r="R162" s="168"/>
      <c r="S162" s="168"/>
      <c r="T162" s="168"/>
      <c r="U162" s="168"/>
      <c r="V162" s="99">
        <f>U162*(1+$R$104+$Q$15*S162/36500)</f>
        <v>0</v>
      </c>
      <c r="W162" s="32">
        <f t="shared" si="31"/>
        <v>0</v>
      </c>
      <c r="X162" s="32">
        <f t="shared" si="32"/>
        <v>0</v>
      </c>
      <c r="Y162" s="96"/>
      <c r="AH162" s="99">
        <v>142</v>
      </c>
      <c r="AI162" s="113" t="s">
        <v>5006</v>
      </c>
      <c r="AJ162" s="113">
        <v>-1100000</v>
      </c>
      <c r="AK162" s="99"/>
      <c r="AL162" s="20">
        <f t="shared" si="41"/>
        <v>116</v>
      </c>
      <c r="AM162" s="117">
        <f t="shared" si="42"/>
        <v>-127600000</v>
      </c>
      <c r="AN162" s="20" t="s">
        <v>5016</v>
      </c>
      <c r="AQ162" t="s">
        <v>25</v>
      </c>
    </row>
    <row r="163" spans="15:43">
      <c r="P163" s="114"/>
      <c r="Q163" s="113">
        <f>SUM(N48:N56)-SUM(Q108:Q162)</f>
        <v>335805648.60000014</v>
      </c>
      <c r="R163" s="112"/>
      <c r="S163" s="112"/>
      <c r="T163" s="112"/>
      <c r="U163" s="168"/>
      <c r="V163" s="99" t="s">
        <v>25</v>
      </c>
      <c r="W163" s="32"/>
      <c r="X163" s="32"/>
      <c r="Y163" s="122" t="s">
        <v>25</v>
      </c>
      <c r="AH163" s="99">
        <v>143</v>
      </c>
      <c r="AI163" s="113" t="s">
        <v>5006</v>
      </c>
      <c r="AJ163" s="113">
        <v>900000</v>
      </c>
      <c r="AK163" s="99">
        <v>1</v>
      </c>
      <c r="AL163" s="20">
        <f t="shared" si="41"/>
        <v>116</v>
      </c>
      <c r="AM163" s="117">
        <f t="shared" si="42"/>
        <v>104400000</v>
      </c>
      <c r="AN163" s="20" t="s">
        <v>5015</v>
      </c>
    </row>
    <row r="164" spans="15:43">
      <c r="P164" s="114"/>
      <c r="Q164" s="26"/>
      <c r="R164" s="181"/>
      <c r="S164" s="181"/>
      <c r="T164" t="s">
        <v>25</v>
      </c>
      <c r="U164" s="96" t="s">
        <v>25</v>
      </c>
      <c r="V164" s="96" t="s">
        <v>25</v>
      </c>
      <c r="W164" s="96" t="s">
        <v>25</v>
      </c>
      <c r="Y164" s="96"/>
      <c r="AH164" s="99">
        <v>144</v>
      </c>
      <c r="AI164" s="113" t="s">
        <v>5013</v>
      </c>
      <c r="AJ164" s="113">
        <v>2000000</v>
      </c>
      <c r="AK164" s="99">
        <v>0</v>
      </c>
      <c r="AL164" s="20">
        <f t="shared" si="41"/>
        <v>115</v>
      </c>
      <c r="AM164" s="117">
        <f t="shared" si="42"/>
        <v>230000000</v>
      </c>
      <c r="AN164" s="20"/>
    </row>
    <row r="165" spans="15:43">
      <c r="R165" s="32" t="s">
        <v>4566</v>
      </c>
      <c r="S165" s="32" t="s">
        <v>949</v>
      </c>
      <c r="T165" t="s">
        <v>25</v>
      </c>
      <c r="U165" s="96" t="s">
        <v>25</v>
      </c>
      <c r="V165" s="96" t="s">
        <v>25</v>
      </c>
      <c r="W165" s="96" t="s">
        <v>25</v>
      </c>
      <c r="X165" s="122" t="s">
        <v>25</v>
      </c>
      <c r="Y165" s="96"/>
      <c r="AH165" s="99">
        <v>145</v>
      </c>
      <c r="AI165" s="113" t="s">
        <v>5013</v>
      </c>
      <c r="AJ165" s="113">
        <v>360000</v>
      </c>
      <c r="AK165" s="99">
        <v>1</v>
      </c>
      <c r="AL165" s="20">
        <f t="shared" si="41"/>
        <v>115</v>
      </c>
      <c r="AM165" s="117">
        <f t="shared" si="42"/>
        <v>41400000</v>
      </c>
      <c r="AN165" s="20"/>
    </row>
    <row r="166" spans="15:43">
      <c r="R166" s="32">
        <v>6424</v>
      </c>
      <c r="S166" s="234">
        <v>3108783</v>
      </c>
      <c r="U166" s="96" t="s">
        <v>25</v>
      </c>
      <c r="V166" s="122" t="s">
        <v>25</v>
      </c>
      <c r="W166" s="96" t="s">
        <v>25</v>
      </c>
      <c r="X166" t="s">
        <v>25</v>
      </c>
      <c r="Y166" t="s">
        <v>25</v>
      </c>
      <c r="AH166" s="99">
        <v>146</v>
      </c>
      <c r="AI166" s="113" t="s">
        <v>5014</v>
      </c>
      <c r="AJ166" s="113">
        <v>3000000</v>
      </c>
      <c r="AK166" s="99">
        <v>1</v>
      </c>
      <c r="AL166" s="20">
        <f t="shared" si="41"/>
        <v>114</v>
      </c>
      <c r="AM166" s="117">
        <f t="shared" si="42"/>
        <v>342000000</v>
      </c>
      <c r="AN166" s="20"/>
    </row>
    <row r="167" spans="15:43">
      <c r="Q167" t="s">
        <v>25</v>
      </c>
      <c r="R167" s="32">
        <v>1000</v>
      </c>
      <c r="S167" s="1">
        <f>S166*R167/R166</f>
        <v>483932.59651307599</v>
      </c>
      <c r="U167" s="96" t="s">
        <v>25</v>
      </c>
      <c r="V167" s="122" t="s">
        <v>25</v>
      </c>
      <c r="W167" s="96" t="s">
        <v>25</v>
      </c>
      <c r="X167" t="s">
        <v>25</v>
      </c>
      <c r="AH167" s="99">
        <v>147</v>
      </c>
      <c r="AI167" s="113" t="s">
        <v>5011</v>
      </c>
      <c r="AJ167" s="113">
        <v>-658226</v>
      </c>
      <c r="AK167" s="99">
        <v>1</v>
      </c>
      <c r="AL167" s="20">
        <f t="shared" si="41"/>
        <v>113</v>
      </c>
      <c r="AM167" s="117">
        <f t="shared" si="42"/>
        <v>-74379538</v>
      </c>
      <c r="AN167" s="20"/>
    </row>
    <row r="168" spans="15:43">
      <c r="P168" s="114"/>
      <c r="R168" s="32">
        <f>R166-R167</f>
        <v>5424</v>
      </c>
      <c r="S168" s="1">
        <f>R168*S166/R166</f>
        <v>2624850.4034869242</v>
      </c>
      <c r="T168" t="s">
        <v>25</v>
      </c>
      <c r="U168" s="122" t="s">
        <v>25</v>
      </c>
      <c r="V168" s="96"/>
      <c r="W168"/>
      <c r="X168" t="s">
        <v>25</v>
      </c>
      <c r="Y168" t="s">
        <v>25</v>
      </c>
      <c r="AH168" s="99">
        <v>148</v>
      </c>
      <c r="AI168" s="113" t="s">
        <v>5017</v>
      </c>
      <c r="AJ168" s="113">
        <v>1000000</v>
      </c>
      <c r="AK168" s="99">
        <v>15</v>
      </c>
      <c r="AL168" s="20">
        <f t="shared" si="41"/>
        <v>112</v>
      </c>
      <c r="AM168" s="117">
        <f t="shared" si="42"/>
        <v>112000000</v>
      </c>
      <c r="AN168" s="20"/>
      <c r="AP168" t="s">
        <v>25</v>
      </c>
    </row>
    <row r="169" spans="15:43">
      <c r="V169" s="96"/>
      <c r="W169"/>
      <c r="X169" t="s">
        <v>25</v>
      </c>
      <c r="AH169" s="99">
        <v>149</v>
      </c>
      <c r="AI169" s="113" t="s">
        <v>5057</v>
      </c>
      <c r="AJ169" s="113">
        <v>1130250</v>
      </c>
      <c r="AK169" s="99">
        <v>5</v>
      </c>
      <c r="AL169" s="20">
        <f t="shared" si="34"/>
        <v>97</v>
      </c>
      <c r="AM169" s="117">
        <f t="shared" si="40"/>
        <v>109634250</v>
      </c>
      <c r="AN169" s="20"/>
    </row>
    <row r="170" spans="15:43">
      <c r="P170" s="114"/>
      <c r="Q170" s="99" t="s">
        <v>4456</v>
      </c>
      <c r="R170" s="99" t="s">
        <v>4458</v>
      </c>
      <c r="S170" s="99"/>
      <c r="T170" s="99" t="s">
        <v>4459</v>
      </c>
      <c r="U170" s="99"/>
      <c r="V170" s="99"/>
      <c r="W170" s="99" t="s">
        <v>4569</v>
      </c>
      <c r="Y170" t="s">
        <v>25</v>
      </c>
      <c r="AE170" s="96" t="s">
        <v>25</v>
      </c>
      <c r="AH170" s="99">
        <v>150</v>
      </c>
      <c r="AI170" s="113" t="s">
        <v>5073</v>
      </c>
      <c r="AJ170" s="113">
        <v>206000</v>
      </c>
      <c r="AK170" s="99">
        <v>2</v>
      </c>
      <c r="AL170" s="20">
        <f t="shared" si="34"/>
        <v>92</v>
      </c>
      <c r="AM170" s="117">
        <f t="shared" si="40"/>
        <v>18952000</v>
      </c>
      <c r="AN170" s="20"/>
    </row>
    <row r="171" spans="15:43">
      <c r="O171" s="96"/>
      <c r="Q171" s="113">
        <v>1000</v>
      </c>
      <c r="R171" s="99">
        <v>0.25</v>
      </c>
      <c r="S171" s="99"/>
      <c r="T171" s="99">
        <f>1-R171</f>
        <v>0.75</v>
      </c>
      <c r="U171" s="99"/>
      <c r="V171" s="99"/>
      <c r="W171" s="99"/>
      <c r="AH171" s="99">
        <v>151</v>
      </c>
      <c r="AI171" s="113" t="s">
        <v>5080</v>
      </c>
      <c r="AJ171" s="113">
        <v>50000</v>
      </c>
      <c r="AK171" s="99">
        <v>2</v>
      </c>
      <c r="AL171" s="20">
        <f t="shared" si="34"/>
        <v>90</v>
      </c>
      <c r="AM171" s="117">
        <f t="shared" si="40"/>
        <v>4500000</v>
      </c>
      <c r="AN171" s="20"/>
    </row>
    <row r="172" spans="15:43">
      <c r="O172" s="96"/>
      <c r="Q172" s="168" t="s">
        <v>4443</v>
      </c>
      <c r="R172" s="168" t="s">
        <v>4461</v>
      </c>
      <c r="S172" s="168" t="s">
        <v>4463</v>
      </c>
      <c r="T172" s="168"/>
      <c r="U172" s="168" t="s">
        <v>4457</v>
      </c>
      <c r="V172" s="56" t="s">
        <v>4460</v>
      </c>
      <c r="W172" s="99"/>
      <c r="X172" s="8" t="s">
        <v>25</v>
      </c>
      <c r="AH172" s="99">
        <v>152</v>
      </c>
      <c r="AI172" s="113" t="s">
        <v>5087</v>
      </c>
      <c r="AJ172" s="113">
        <v>105000</v>
      </c>
      <c r="AK172" s="99">
        <v>4</v>
      </c>
      <c r="AL172" s="20">
        <f t="shared" si="34"/>
        <v>88</v>
      </c>
      <c r="AM172" s="117">
        <f t="shared" si="40"/>
        <v>9240000</v>
      </c>
      <c r="AN172" s="20"/>
    </row>
    <row r="173" spans="15:43">
      <c r="Q173" s="168" t="s">
        <v>751</v>
      </c>
      <c r="R173" s="56">
        <v>1751894</v>
      </c>
      <c r="S173" s="113">
        <f>R173*$T$306</f>
        <v>844314340.62673295</v>
      </c>
      <c r="T173" s="168"/>
      <c r="U173" s="168">
        <f>$Q$171*$T$171*S173/$R$200</f>
        <v>363.3439789789748</v>
      </c>
      <c r="V173" s="95">
        <f>S173+U173</f>
        <v>844314703.97071195</v>
      </c>
      <c r="W173" s="99">
        <f>R173*100/U303</f>
        <v>48.445863863863309</v>
      </c>
      <c r="X173" s="217"/>
      <c r="AH173" s="99">
        <v>153</v>
      </c>
      <c r="AI173" s="113" t="s">
        <v>5092</v>
      </c>
      <c r="AJ173" s="113">
        <v>5000000</v>
      </c>
      <c r="AK173" s="99">
        <v>1</v>
      </c>
      <c r="AL173" s="20">
        <f t="shared" si="34"/>
        <v>84</v>
      </c>
      <c r="AM173" s="117">
        <f t="shared" si="40"/>
        <v>420000000</v>
      </c>
      <c r="AN173" s="20"/>
    </row>
    <row r="174" spans="15:43">
      <c r="P174">
        <f>R173+530</f>
        <v>1752424</v>
      </c>
      <c r="Q174" s="168" t="s">
        <v>4445</v>
      </c>
      <c r="R174" s="56">
        <v>1591016</v>
      </c>
      <c r="S174" s="113">
        <f>R174*$T$306</f>
        <v>766780196.15717733</v>
      </c>
      <c r="T174" s="168"/>
      <c r="U174" s="213">
        <f>$Q$171*$T$171*S174/$R$200</f>
        <v>329.9777749448383</v>
      </c>
      <c r="V174" s="95">
        <f t="shared" ref="V174:V175" si="43">S174+U174</f>
        <v>766780526.13495231</v>
      </c>
      <c r="W174" s="99">
        <f>R174*100/U303</f>
        <v>43.997036659311782</v>
      </c>
      <c r="X174" s="115"/>
      <c r="AH174" s="99">
        <v>154</v>
      </c>
      <c r="AI174" s="113" t="s">
        <v>5093</v>
      </c>
      <c r="AJ174" s="113">
        <v>2500000</v>
      </c>
      <c r="AK174" s="99">
        <v>2</v>
      </c>
      <c r="AL174" s="20">
        <f t="shared" si="34"/>
        <v>83</v>
      </c>
      <c r="AM174" s="117">
        <f t="shared" si="40"/>
        <v>207500000</v>
      </c>
      <c r="AN174" s="20"/>
    </row>
    <row r="175" spans="15:43">
      <c r="Q175" s="168" t="s">
        <v>4444</v>
      </c>
      <c r="R175" s="56">
        <v>52617</v>
      </c>
      <c r="S175" s="113">
        <f>R175*$T$306</f>
        <v>25358433.592875373</v>
      </c>
      <c r="T175" s="168"/>
      <c r="U175" s="213">
        <f>$Q$171*$T$171*S175/$R$200</f>
        <v>10.912800741332934</v>
      </c>
      <c r="V175" s="95">
        <f t="shared" si="43"/>
        <v>25358444.505676113</v>
      </c>
      <c r="W175" s="99">
        <f>R175*100/U303</f>
        <v>1.4550400988443912</v>
      </c>
      <c r="X175" s="115"/>
      <c r="AH175" s="270">
        <v>155</v>
      </c>
      <c r="AI175" s="266" t="s">
        <v>5100</v>
      </c>
      <c r="AJ175" s="266">
        <v>-50000000</v>
      </c>
      <c r="AK175" s="270">
        <v>7</v>
      </c>
      <c r="AL175" s="270">
        <f t="shared" si="34"/>
        <v>81</v>
      </c>
      <c r="AM175" s="266">
        <f t="shared" si="40"/>
        <v>-4050000000</v>
      </c>
      <c r="AN175" s="270" t="s">
        <v>5109</v>
      </c>
    </row>
    <row r="176" spans="15:43">
      <c r="Q176" s="168" t="s">
        <v>1086</v>
      </c>
      <c r="R176" s="56">
        <v>220662</v>
      </c>
      <c r="S176" s="113">
        <f>R176*$T$306</f>
        <v>106346668.82321426</v>
      </c>
      <c r="T176" s="168"/>
      <c r="U176" s="213">
        <f>$Q$171*$T$171*S176/$R$200</f>
        <v>45.765445334853894</v>
      </c>
      <c r="V176" s="95">
        <f>S176+U176</f>
        <v>106346714.5886596</v>
      </c>
      <c r="W176" s="99">
        <f>R176*100/U303</f>
        <v>6.1020593779805203</v>
      </c>
      <c r="X176" s="115"/>
      <c r="AH176" s="99">
        <v>156</v>
      </c>
      <c r="AI176" s="113" t="s">
        <v>5107</v>
      </c>
      <c r="AJ176" s="113">
        <v>10000000</v>
      </c>
      <c r="AK176" s="99">
        <v>12</v>
      </c>
      <c r="AL176" s="20">
        <f t="shared" si="34"/>
        <v>74</v>
      </c>
      <c r="AM176" s="117">
        <f t="shared" si="40"/>
        <v>740000000</v>
      </c>
      <c r="AN176" s="20" t="s">
        <v>4755</v>
      </c>
    </row>
    <row r="177" spans="17:44">
      <c r="Q177" s="168"/>
      <c r="R177" s="56"/>
      <c r="S177" s="168"/>
      <c r="T177" s="168"/>
      <c r="U177" s="168"/>
      <c r="V177" s="168"/>
      <c r="W177" s="99"/>
      <c r="X177" s="96"/>
      <c r="AH177" s="99">
        <v>157</v>
      </c>
      <c r="AI177" s="113" t="s">
        <v>5116</v>
      </c>
      <c r="AJ177" s="113">
        <v>-16266000</v>
      </c>
      <c r="AK177" s="99">
        <v>1</v>
      </c>
      <c r="AL177" s="20">
        <f t="shared" si="34"/>
        <v>62</v>
      </c>
      <c r="AM177" s="117">
        <f t="shared" si="40"/>
        <v>-1008492000</v>
      </c>
      <c r="AN177" s="20" t="s">
        <v>5131</v>
      </c>
      <c r="AQ177" t="s">
        <v>25</v>
      </c>
    </row>
    <row r="178" spans="17:44">
      <c r="Q178" s="168"/>
      <c r="R178" s="168"/>
      <c r="S178" s="168"/>
      <c r="T178" s="168"/>
      <c r="U178" s="168"/>
      <c r="V178" s="168"/>
      <c r="W178" s="99"/>
      <c r="X178" s="96"/>
      <c r="AH178" s="99">
        <v>158</v>
      </c>
      <c r="AI178" s="113" t="s">
        <v>5132</v>
      </c>
      <c r="AJ178" s="113">
        <v>1000000</v>
      </c>
      <c r="AK178" s="99">
        <v>6</v>
      </c>
      <c r="AL178" s="20">
        <f t="shared" ref="AL178:AL196" si="44">AL179+AK178</f>
        <v>61</v>
      </c>
      <c r="AM178" s="117">
        <f t="shared" ref="AM178:AM196" si="45">AJ178*AL178</f>
        <v>61000000</v>
      </c>
      <c r="AN178" s="20"/>
    </row>
    <row r="179" spans="17:44">
      <c r="Q179" s="99"/>
      <c r="R179" s="99"/>
      <c r="S179" s="99"/>
      <c r="T179" s="99" t="s">
        <v>25</v>
      </c>
      <c r="U179" s="99"/>
      <c r="V179" s="99"/>
      <c r="W179" s="99"/>
      <c r="X179" s="96"/>
      <c r="Y179" t="s">
        <v>25</v>
      </c>
      <c r="AH179" s="99">
        <v>159</v>
      </c>
      <c r="AI179" s="113" t="s">
        <v>5142</v>
      </c>
      <c r="AJ179" s="113">
        <v>40000</v>
      </c>
      <c r="AK179" s="99">
        <v>5</v>
      </c>
      <c r="AL179" s="20">
        <f t="shared" si="44"/>
        <v>55</v>
      </c>
      <c r="AM179" s="117">
        <f t="shared" si="45"/>
        <v>2200000</v>
      </c>
      <c r="AN179" s="20"/>
    </row>
    <row r="180" spans="17:44">
      <c r="Q180" s="99"/>
      <c r="R180" s="99"/>
      <c r="S180" s="99"/>
      <c r="T180" s="99"/>
      <c r="U180" s="99"/>
      <c r="V180" s="99"/>
      <c r="W180" s="99"/>
      <c r="X180" s="96"/>
      <c r="AH180" s="99">
        <v>160</v>
      </c>
      <c r="AI180" s="113" t="s">
        <v>5154</v>
      </c>
      <c r="AJ180" s="113">
        <v>120000</v>
      </c>
      <c r="AK180" s="99">
        <v>6</v>
      </c>
      <c r="AL180" s="20">
        <f t="shared" si="44"/>
        <v>50</v>
      </c>
      <c r="AM180" s="117">
        <f t="shared" si="45"/>
        <v>6000000</v>
      </c>
      <c r="AN180" s="20"/>
    </row>
    <row r="181" spans="17:44">
      <c r="Q181" s="99"/>
      <c r="R181" s="99"/>
      <c r="S181" s="99"/>
      <c r="T181" s="99"/>
      <c r="U181" s="99"/>
      <c r="V181" s="99"/>
      <c r="W181" s="99"/>
      <c r="X181" s="96"/>
      <c r="Y181" t="s">
        <v>25</v>
      </c>
      <c r="AH181" s="99">
        <v>161</v>
      </c>
      <c r="AI181" s="113" t="s">
        <v>5147</v>
      </c>
      <c r="AJ181" s="113">
        <v>249000</v>
      </c>
      <c r="AK181" s="99">
        <v>9</v>
      </c>
      <c r="AL181" s="20">
        <f t="shared" si="44"/>
        <v>44</v>
      </c>
      <c r="AM181" s="117">
        <f t="shared" si="45"/>
        <v>10956000</v>
      </c>
      <c r="AN181" s="20"/>
    </row>
    <row r="182" spans="17:44">
      <c r="Q182" s="96"/>
      <c r="R182" s="96"/>
      <c r="S182" s="96"/>
      <c r="T182" s="96"/>
      <c r="V182" s="96"/>
      <c r="X182" s="115"/>
      <c r="Y182" t="s">
        <v>25</v>
      </c>
      <c r="AH182" s="99">
        <v>162</v>
      </c>
      <c r="AI182" s="113" t="s">
        <v>5178</v>
      </c>
      <c r="AJ182" s="113">
        <v>65000</v>
      </c>
      <c r="AK182" s="99">
        <v>7</v>
      </c>
      <c r="AL182" s="20">
        <f t="shared" ref="AL182" si="46">AL183+AK182</f>
        <v>35</v>
      </c>
      <c r="AM182" s="117">
        <f t="shared" ref="AM182" si="47">AJ182*AL182</f>
        <v>2275000</v>
      </c>
      <c r="AN182" s="20"/>
    </row>
    <row r="183" spans="17:44">
      <c r="Q183" s="99" t="s">
        <v>5051</v>
      </c>
      <c r="R183" s="95">
        <f>S173-R188</f>
        <v>216519550.62673295</v>
      </c>
      <c r="S183" s="96"/>
      <c r="T183" s="96"/>
      <c r="V183" s="96"/>
      <c r="AH183" s="99">
        <v>163</v>
      </c>
      <c r="AI183" s="113" t="s">
        <v>5191</v>
      </c>
      <c r="AJ183" s="113">
        <v>-312598</v>
      </c>
      <c r="AK183" s="99">
        <v>0</v>
      </c>
      <c r="AL183" s="20">
        <f t="shared" ref="AL183:AL195" si="48">AL184+AK183</f>
        <v>28</v>
      </c>
      <c r="AM183" s="117">
        <f t="shared" ref="AM183:AM195" si="49">AJ183*AL183</f>
        <v>-8752744</v>
      </c>
      <c r="AN183" s="20"/>
      <c r="AO183" t="s">
        <v>25</v>
      </c>
      <c r="AQ183" t="s">
        <v>25</v>
      </c>
    </row>
    <row r="184" spans="17:44">
      <c r="Q184" s="99" t="s">
        <v>5052</v>
      </c>
      <c r="R184" s="95">
        <f>S176+S175-R189</f>
        <v>13437171.81608963</v>
      </c>
      <c r="S184" s="96"/>
      <c r="T184" s="96" t="s">
        <v>25</v>
      </c>
      <c r="V184" s="96"/>
      <c r="AH184" s="99">
        <v>164</v>
      </c>
      <c r="AI184" s="113" t="s">
        <v>5191</v>
      </c>
      <c r="AJ184" s="113">
        <v>50000</v>
      </c>
      <c r="AK184" s="99">
        <v>6</v>
      </c>
      <c r="AL184" s="20">
        <f t="shared" si="48"/>
        <v>28</v>
      </c>
      <c r="AM184" s="117">
        <f t="shared" si="49"/>
        <v>1400000</v>
      </c>
      <c r="AN184" s="20"/>
      <c r="AR184" t="s">
        <v>25</v>
      </c>
    </row>
    <row r="185" spans="17:44">
      <c r="Q185" s="96"/>
      <c r="R185" s="96"/>
      <c r="S185" s="96"/>
      <c r="T185" s="96"/>
      <c r="V185" s="96"/>
      <c r="AH185" s="99">
        <v>165</v>
      </c>
      <c r="AI185" s="113" t="s">
        <v>5206</v>
      </c>
      <c r="AJ185" s="113">
        <v>-200000</v>
      </c>
      <c r="AK185" s="99">
        <v>0</v>
      </c>
      <c r="AL185" s="20">
        <f t="shared" si="48"/>
        <v>22</v>
      </c>
      <c r="AM185" s="117">
        <f t="shared" si="49"/>
        <v>-4400000</v>
      </c>
      <c r="AN185" s="20" t="s">
        <v>5207</v>
      </c>
    </row>
    <row r="186" spans="17:44">
      <c r="Q186" s="96"/>
      <c r="R186" s="96"/>
      <c r="S186" s="96"/>
      <c r="T186" s="99" t="s">
        <v>180</v>
      </c>
      <c r="U186" s="99" t="s">
        <v>4479</v>
      </c>
      <c r="V186" s="99" t="s">
        <v>4480</v>
      </c>
      <c r="W186" s="99" t="s">
        <v>4490</v>
      </c>
      <c r="X186" s="99" t="s">
        <v>8</v>
      </c>
      <c r="AH186" s="99">
        <v>166</v>
      </c>
      <c r="AI186" s="113" t="s">
        <v>5206</v>
      </c>
      <c r="AJ186" s="113">
        <v>200000</v>
      </c>
      <c r="AK186" s="99">
        <v>3</v>
      </c>
      <c r="AL186" s="20">
        <f t="shared" si="48"/>
        <v>22</v>
      </c>
      <c r="AM186" s="117">
        <f t="shared" si="49"/>
        <v>4400000</v>
      </c>
      <c r="AN186" s="20"/>
      <c r="AQ186" t="s">
        <v>25</v>
      </c>
      <c r="AR186" t="s">
        <v>25</v>
      </c>
    </row>
    <row r="187" spans="17:44">
      <c r="Q187" s="36" t="s">
        <v>4565</v>
      </c>
      <c r="R187" s="95">
        <f>SUM(N48:N56)</f>
        <v>987194268.60000014</v>
      </c>
      <c r="T187" s="113" t="s">
        <v>4455</v>
      </c>
      <c r="U187" s="56">
        <v>1000000</v>
      </c>
      <c r="V187" s="113">
        <v>239.024</v>
      </c>
      <c r="W187" s="113">
        <f t="shared" ref="W187:W288" si="50">U187*V187</f>
        <v>239024000</v>
      </c>
      <c r="X187" s="99"/>
      <c r="Z187" t="s">
        <v>25</v>
      </c>
      <c r="AH187" s="99">
        <v>167</v>
      </c>
      <c r="AI187" s="113" t="s">
        <v>5215</v>
      </c>
      <c r="AJ187" s="113">
        <v>200000</v>
      </c>
      <c r="AK187" s="99">
        <v>3</v>
      </c>
      <c r="AL187" s="20">
        <f t="shared" si="48"/>
        <v>19</v>
      </c>
      <c r="AM187" s="117">
        <f t="shared" si="49"/>
        <v>3800000</v>
      </c>
      <c r="AN187" s="20"/>
    </row>
    <row r="188" spans="17:44">
      <c r="Q188" s="99" t="s">
        <v>4446</v>
      </c>
      <c r="R188" s="95">
        <f>SUM(N21:N29)</f>
        <v>627794790</v>
      </c>
      <c r="T188" s="168" t="s">
        <v>4437</v>
      </c>
      <c r="U188" s="56">
        <v>5904</v>
      </c>
      <c r="V188" s="113">
        <v>237.148</v>
      </c>
      <c r="W188" s="113">
        <f t="shared" si="50"/>
        <v>1400121.7919999999</v>
      </c>
      <c r="X188" s="99" t="s">
        <v>751</v>
      </c>
      <c r="AH188" s="99">
        <v>168</v>
      </c>
      <c r="AI188" s="113" t="s">
        <v>5220</v>
      </c>
      <c r="AJ188" s="113">
        <v>30000</v>
      </c>
      <c r="AK188" s="99">
        <v>7</v>
      </c>
      <c r="AL188" s="20">
        <f t="shared" si="48"/>
        <v>16</v>
      </c>
      <c r="AM188" s="117">
        <f t="shared" si="49"/>
        <v>480000</v>
      </c>
      <c r="AN188" s="20"/>
    </row>
    <row r="189" spans="17:44">
      <c r="Q189" s="99" t="s">
        <v>4447</v>
      </c>
      <c r="R189" s="95">
        <f>SUM(N32:N35)</f>
        <v>118267930.60000001</v>
      </c>
      <c r="T189" s="168" t="s">
        <v>4230</v>
      </c>
      <c r="U189" s="168">
        <v>1000</v>
      </c>
      <c r="V189" s="113">
        <v>247.393</v>
      </c>
      <c r="W189" s="113">
        <f t="shared" si="50"/>
        <v>247393</v>
      </c>
      <c r="X189" s="99" t="s">
        <v>751</v>
      </c>
      <c r="AH189" s="99">
        <v>169</v>
      </c>
      <c r="AI189" s="113" t="s">
        <v>5166</v>
      </c>
      <c r="AJ189" s="113">
        <v>-10000000</v>
      </c>
      <c r="AK189" s="99">
        <v>0</v>
      </c>
      <c r="AL189" s="20">
        <f t="shared" si="48"/>
        <v>9</v>
      </c>
      <c r="AM189" s="117">
        <f t="shared" si="49"/>
        <v>-90000000</v>
      </c>
      <c r="AN189" s="20" t="s">
        <v>5109</v>
      </c>
    </row>
    <row r="190" spans="17:44">
      <c r="Q190" s="99" t="s">
        <v>4448</v>
      </c>
      <c r="R190" s="95">
        <f>N46</f>
        <v>8544888</v>
      </c>
      <c r="T190" s="168" t="s">
        <v>4491</v>
      </c>
      <c r="U190" s="168">
        <v>8071</v>
      </c>
      <c r="V190" s="113">
        <v>247.797</v>
      </c>
      <c r="W190" s="113">
        <f t="shared" si="50"/>
        <v>1999969.5870000001</v>
      </c>
      <c r="X190" s="99" t="s">
        <v>4444</v>
      </c>
      <c r="AH190" s="99">
        <v>170</v>
      </c>
      <c r="AI190" s="113" t="s">
        <v>5166</v>
      </c>
      <c r="AJ190" s="113">
        <v>6000000</v>
      </c>
      <c r="AK190" s="99">
        <v>8</v>
      </c>
      <c r="AL190" s="20">
        <f t="shared" si="48"/>
        <v>9</v>
      </c>
      <c r="AM190" s="117">
        <f t="shared" si="49"/>
        <v>54000000</v>
      </c>
      <c r="AN190" s="20"/>
      <c r="AP190" t="s">
        <v>25</v>
      </c>
    </row>
    <row r="191" spans="17:44">
      <c r="Q191" s="99" t="s">
        <v>4449</v>
      </c>
      <c r="R191" s="95">
        <f>N20</f>
        <v>837449</v>
      </c>
      <c r="T191" s="168" t="s">
        <v>4491</v>
      </c>
      <c r="U191" s="168">
        <v>53672</v>
      </c>
      <c r="V191" s="113">
        <v>247.797</v>
      </c>
      <c r="W191" s="113">
        <f t="shared" si="50"/>
        <v>13299760.584000001</v>
      </c>
      <c r="X191" s="99" t="s">
        <v>452</v>
      </c>
      <c r="Y191" t="s">
        <v>25</v>
      </c>
      <c r="AH191" s="99">
        <v>171</v>
      </c>
      <c r="AI191" s="113" t="s">
        <v>5265</v>
      </c>
      <c r="AJ191" s="113">
        <v>150000</v>
      </c>
      <c r="AK191" s="99">
        <v>1</v>
      </c>
      <c r="AL191" s="20">
        <f t="shared" si="48"/>
        <v>1</v>
      </c>
      <c r="AM191" s="117">
        <f t="shared" si="49"/>
        <v>150000</v>
      </c>
      <c r="AN191" s="20"/>
    </row>
    <row r="192" spans="17:44">
      <c r="Q192" s="99" t="s">
        <v>4450</v>
      </c>
      <c r="R192" s="95">
        <f>N31</f>
        <v>160313</v>
      </c>
      <c r="T192" s="168" t="s">
        <v>4499</v>
      </c>
      <c r="U192" s="168">
        <v>4099</v>
      </c>
      <c r="V192" s="113">
        <v>243.93</v>
      </c>
      <c r="W192" s="113">
        <f t="shared" si="50"/>
        <v>999869.07000000007</v>
      </c>
      <c r="X192" s="99" t="s">
        <v>4444</v>
      </c>
      <c r="AH192" s="99"/>
      <c r="AI192" s="113"/>
      <c r="AJ192" s="113"/>
      <c r="AK192" s="99"/>
      <c r="AL192" s="20">
        <f t="shared" si="48"/>
        <v>0</v>
      </c>
      <c r="AM192" s="117">
        <f t="shared" si="49"/>
        <v>0</v>
      </c>
      <c r="AN192" s="20"/>
    </row>
    <row r="193" spans="15:45">
      <c r="Q193" s="99" t="s">
        <v>4462</v>
      </c>
      <c r="R193" s="95">
        <v>0</v>
      </c>
      <c r="T193" s="168" t="s">
        <v>4499</v>
      </c>
      <c r="U193" s="168">
        <v>9301</v>
      </c>
      <c r="V193" s="113">
        <v>243.93</v>
      </c>
      <c r="W193" s="113">
        <f t="shared" si="50"/>
        <v>2268792.9300000002</v>
      </c>
      <c r="X193" s="99" t="s">
        <v>452</v>
      </c>
      <c r="AH193" s="99"/>
      <c r="AI193" s="113"/>
      <c r="AJ193" s="113"/>
      <c r="AK193" s="99"/>
      <c r="AL193" s="20">
        <f t="shared" si="48"/>
        <v>0</v>
      </c>
      <c r="AM193" s="117">
        <f t="shared" si="49"/>
        <v>0</v>
      </c>
      <c r="AN193" s="20"/>
    </row>
    <row r="194" spans="15:45">
      <c r="Q194" s="99" t="s">
        <v>4923</v>
      </c>
      <c r="R194" s="95">
        <v>0</v>
      </c>
      <c r="T194" s="168" t="s">
        <v>4505</v>
      </c>
      <c r="U194" s="168">
        <v>8334</v>
      </c>
      <c r="V194" s="113">
        <v>239.97</v>
      </c>
      <c r="W194" s="113">
        <f t="shared" si="50"/>
        <v>1999909.98</v>
      </c>
      <c r="X194" s="99" t="s">
        <v>4444</v>
      </c>
      <c r="AH194" s="99"/>
      <c r="AI194" s="113"/>
      <c r="AJ194" s="113"/>
      <c r="AK194" s="99"/>
      <c r="AL194" s="20">
        <f t="shared" si="48"/>
        <v>0</v>
      </c>
      <c r="AM194" s="117">
        <f t="shared" si="49"/>
        <v>0</v>
      </c>
      <c r="AN194" s="20"/>
      <c r="AS194" t="s">
        <v>25</v>
      </c>
    </row>
    <row r="195" spans="15:45">
      <c r="Q195" s="99" t="s">
        <v>5228</v>
      </c>
      <c r="R195" s="95">
        <v>0</v>
      </c>
      <c r="T195" s="168" t="s">
        <v>4229</v>
      </c>
      <c r="U195" s="168">
        <v>29041</v>
      </c>
      <c r="V195" s="113">
        <v>233.45</v>
      </c>
      <c r="W195" s="113">
        <f t="shared" si="50"/>
        <v>6779621.4499999993</v>
      </c>
      <c r="X195" s="99" t="s">
        <v>751</v>
      </c>
      <c r="AH195" s="99"/>
      <c r="AI195" s="113"/>
      <c r="AJ195" s="113"/>
      <c r="AK195" s="99"/>
      <c r="AL195" s="20">
        <f t="shared" si="48"/>
        <v>0</v>
      </c>
      <c r="AM195" s="117">
        <f t="shared" si="49"/>
        <v>0</v>
      </c>
      <c r="AN195" s="20"/>
    </row>
    <row r="196" spans="15:45">
      <c r="Q196" s="99"/>
      <c r="R196" s="95"/>
      <c r="S196" s="115"/>
      <c r="T196" s="168" t="s">
        <v>993</v>
      </c>
      <c r="U196" s="168">
        <v>12337</v>
      </c>
      <c r="V196" s="113">
        <v>243.16300000000001</v>
      </c>
      <c r="W196" s="113">
        <f t="shared" si="50"/>
        <v>2999901.9310000003</v>
      </c>
      <c r="X196" s="99" t="s">
        <v>4444</v>
      </c>
      <c r="AH196" s="99"/>
      <c r="AI196" s="113"/>
      <c r="AJ196" s="113"/>
      <c r="AK196" s="99"/>
      <c r="AL196" s="20">
        <f t="shared" si="44"/>
        <v>0</v>
      </c>
      <c r="AM196" s="117">
        <f t="shared" si="45"/>
        <v>0</v>
      </c>
      <c r="AN196" s="99"/>
    </row>
    <row r="197" spans="15:45">
      <c r="Q197" s="99"/>
      <c r="R197" s="95"/>
      <c r="S197" s="122"/>
      <c r="T197" s="168" t="s">
        <v>4586</v>
      </c>
      <c r="U197" s="168">
        <v>-16118</v>
      </c>
      <c r="V197" s="113">
        <v>248.17</v>
      </c>
      <c r="W197" s="113">
        <f t="shared" si="50"/>
        <v>-4000004.0599999996</v>
      </c>
      <c r="X197" s="99" t="s">
        <v>751</v>
      </c>
      <c r="Y197" t="s">
        <v>25</v>
      </c>
      <c r="AH197" s="99"/>
      <c r="AI197" s="99"/>
      <c r="AJ197" s="95">
        <f>SUM(AJ20:AJ196)</f>
        <v>491370059</v>
      </c>
      <c r="AK197" s="99"/>
      <c r="AL197" s="99"/>
      <c r="AM197" s="95">
        <f>SUM(AM20:AM196)</f>
        <v>157274252962</v>
      </c>
      <c r="AN197" s="95">
        <f>AM197*AN200/31</f>
        <v>84557741.100569502</v>
      </c>
    </row>
    <row r="198" spans="15:45">
      <c r="Q198" s="99"/>
      <c r="R198" s="95"/>
      <c r="S198" s="115"/>
      <c r="T198" s="168" t="s">
        <v>4614</v>
      </c>
      <c r="U198" s="168">
        <v>101681</v>
      </c>
      <c r="V198" s="113">
        <v>246.5711</v>
      </c>
      <c r="W198" s="113">
        <f t="shared" si="50"/>
        <v>25071596.019099999</v>
      </c>
      <c r="X198" s="99" t="s">
        <v>452</v>
      </c>
      <c r="AH198" s="99"/>
      <c r="AI198" s="99"/>
      <c r="AJ198" s="99" t="s">
        <v>4058</v>
      </c>
      <c r="AK198" s="99"/>
      <c r="AL198" s="99"/>
      <c r="AM198" s="99" t="s">
        <v>284</v>
      </c>
      <c r="AN198" s="99" t="s">
        <v>942</v>
      </c>
    </row>
    <row r="199" spans="15:45">
      <c r="Q199" s="99" t="s">
        <v>5229</v>
      </c>
      <c r="R199" s="95">
        <v>0</v>
      </c>
      <c r="S199" s="115"/>
      <c r="T199" s="168" t="s">
        <v>4618</v>
      </c>
      <c r="U199" s="168">
        <v>66606</v>
      </c>
      <c r="V199" s="113">
        <v>251.131</v>
      </c>
      <c r="W199" s="113">
        <f t="shared" si="50"/>
        <v>16726831.386</v>
      </c>
      <c r="X199" s="99" t="s">
        <v>751</v>
      </c>
      <c r="AH199" s="99"/>
      <c r="AI199" s="99"/>
      <c r="AJ199" s="99"/>
      <c r="AK199" s="99"/>
      <c r="AL199" s="99"/>
      <c r="AM199" s="99"/>
      <c r="AN199" s="99"/>
    </row>
    <row r="200" spans="15:45">
      <c r="Q200" s="99" t="s">
        <v>4454</v>
      </c>
      <c r="R200" s="95">
        <f>SUM(R187:R199)</f>
        <v>1742799639.2</v>
      </c>
      <c r="T200" s="168" t="s">
        <v>4623</v>
      </c>
      <c r="U200" s="168">
        <v>172025</v>
      </c>
      <c r="V200" s="113">
        <v>245.52809999999999</v>
      </c>
      <c r="W200" s="113">
        <f t="shared" si="50"/>
        <v>42236971.402499996</v>
      </c>
      <c r="X200" s="99" t="s">
        <v>452</v>
      </c>
      <c r="AH200" s="99"/>
      <c r="AI200" s="99"/>
      <c r="AJ200" s="99"/>
      <c r="AK200" s="99"/>
      <c r="AL200" s="99"/>
      <c r="AM200" s="99" t="s">
        <v>4059</v>
      </c>
      <c r="AN200" s="99">
        <v>1.6667000000000001E-2</v>
      </c>
    </row>
    <row r="201" spans="15:45">
      <c r="Q201" s="96"/>
      <c r="T201" s="168" t="s">
        <v>4623</v>
      </c>
      <c r="U201" s="168">
        <v>189227</v>
      </c>
      <c r="V201" s="113">
        <v>245.52809999999999</v>
      </c>
      <c r="W201" s="113">
        <f t="shared" si="50"/>
        <v>46460545.778700002</v>
      </c>
      <c r="X201" s="99" t="s">
        <v>751</v>
      </c>
      <c r="AH201" s="99"/>
      <c r="AI201" s="99"/>
      <c r="AJ201" s="99"/>
      <c r="AK201" s="99"/>
      <c r="AL201" s="99"/>
      <c r="AM201" s="99"/>
      <c r="AN201" s="99"/>
      <c r="AQ201" t="s">
        <v>25</v>
      </c>
    </row>
    <row r="202" spans="15:45">
      <c r="T202" s="168" t="s">
        <v>4624</v>
      </c>
      <c r="U202" s="168">
        <v>79720</v>
      </c>
      <c r="V202" s="113">
        <v>246.6568</v>
      </c>
      <c r="W202" s="113">
        <f t="shared" si="50"/>
        <v>19663480.096000001</v>
      </c>
      <c r="X202" s="99" t="s">
        <v>452</v>
      </c>
      <c r="AH202" s="99"/>
      <c r="AI202" s="99" t="s">
        <v>4060</v>
      </c>
      <c r="AJ202" s="95">
        <f>AJ197+AN197</f>
        <v>575927800.10056949</v>
      </c>
      <c r="AK202" s="99"/>
      <c r="AL202" s="99"/>
      <c r="AM202" s="99"/>
      <c r="AN202" s="99"/>
    </row>
    <row r="203" spans="15:45">
      <c r="Q203" s="99" t="s">
        <v>8</v>
      </c>
      <c r="R203" s="99" t="s">
        <v>4444</v>
      </c>
      <c r="S203" s="99"/>
      <c r="T203" s="168" t="s">
        <v>4624</v>
      </c>
      <c r="U203" s="168">
        <v>79720</v>
      </c>
      <c r="V203" s="113">
        <v>246.6568</v>
      </c>
      <c r="W203" s="113">
        <f t="shared" si="50"/>
        <v>19663480.096000001</v>
      </c>
      <c r="X203" s="99" t="s">
        <v>751</v>
      </c>
      <c r="AI203" t="s">
        <v>4063</v>
      </c>
      <c r="AJ203" s="114">
        <f>SUM(N46:N56)</f>
        <v>995739156.60000014</v>
      </c>
    </row>
    <row r="204" spans="15:45">
      <c r="Q204" s="99"/>
      <c r="R204" s="36" t="s">
        <v>180</v>
      </c>
      <c r="S204" s="99" t="s">
        <v>267</v>
      </c>
      <c r="T204" s="168" t="s">
        <v>4648</v>
      </c>
      <c r="U204" s="168">
        <v>17769</v>
      </c>
      <c r="V204" s="113">
        <v>246.17877999999999</v>
      </c>
      <c r="W204" s="113">
        <f t="shared" si="50"/>
        <v>4374350.7418200001</v>
      </c>
      <c r="X204" s="99" t="s">
        <v>751</v>
      </c>
      <c r="AI204" t="s">
        <v>4135</v>
      </c>
      <c r="AJ204" s="114">
        <f>AJ203-AJ197</f>
        <v>504369097.60000014</v>
      </c>
      <c r="AM204" t="s">
        <v>25</v>
      </c>
      <c r="AR204" t="s">
        <v>25</v>
      </c>
    </row>
    <row r="205" spans="15:45">
      <c r="O205" t="s">
        <v>25</v>
      </c>
      <c r="Q205" s="99"/>
      <c r="R205" s="99" t="s">
        <v>4437</v>
      </c>
      <c r="S205" s="95">
        <v>3000000</v>
      </c>
      <c r="T205" s="168" t="s">
        <v>4648</v>
      </c>
      <c r="U205" s="168">
        <v>17769</v>
      </c>
      <c r="V205" s="113">
        <v>246.17877999999999</v>
      </c>
      <c r="W205" s="113">
        <f t="shared" si="50"/>
        <v>4374350.7418200001</v>
      </c>
      <c r="X205" s="99" t="s">
        <v>452</v>
      </c>
      <c r="AI205" t="s">
        <v>942</v>
      </c>
      <c r="AJ205" s="114">
        <f>AN197</f>
        <v>84557741.100569502</v>
      </c>
      <c r="AN205" t="s">
        <v>25</v>
      </c>
    </row>
    <row r="206" spans="15:45">
      <c r="Q206" s="99"/>
      <c r="R206" s="99" t="s">
        <v>4491</v>
      </c>
      <c r="S206" s="95">
        <v>2000000</v>
      </c>
      <c r="T206" s="168" t="s">
        <v>4651</v>
      </c>
      <c r="U206" s="168">
        <v>12438</v>
      </c>
      <c r="V206" s="113">
        <v>241.20465999999999</v>
      </c>
      <c r="W206" s="113">
        <f t="shared" si="50"/>
        <v>3000103.5610799999</v>
      </c>
      <c r="X206" s="99" t="s">
        <v>4444</v>
      </c>
      <c r="AI206" t="s">
        <v>4064</v>
      </c>
      <c r="AJ206" s="114">
        <f>AJ203-AJ202</f>
        <v>419811356.49943066</v>
      </c>
      <c r="AN206" t="s">
        <v>25</v>
      </c>
    </row>
    <row r="207" spans="15:45">
      <c r="Q207" s="99"/>
      <c r="R207" s="99" t="s">
        <v>4499</v>
      </c>
      <c r="S207" s="95">
        <v>1000000</v>
      </c>
      <c r="T207" s="168" t="s">
        <v>4660</v>
      </c>
      <c r="U207" s="168">
        <v>27363</v>
      </c>
      <c r="V207" s="113">
        <v>239.3886</v>
      </c>
      <c r="W207" s="113">
        <f t="shared" si="50"/>
        <v>6550390.2617999995</v>
      </c>
      <c r="X207" s="99" t="s">
        <v>751</v>
      </c>
      <c r="AM207" t="s">
        <v>25</v>
      </c>
      <c r="AR207" t="s">
        <v>25</v>
      </c>
    </row>
    <row r="208" spans="15:45">
      <c r="Q208" s="99"/>
      <c r="R208" s="99" t="s">
        <v>4505</v>
      </c>
      <c r="S208" s="95">
        <v>2000000</v>
      </c>
      <c r="T208" s="168" t="s">
        <v>4660</v>
      </c>
      <c r="U208" s="168">
        <v>27363</v>
      </c>
      <c r="V208" s="113">
        <v>239.3886</v>
      </c>
      <c r="W208" s="113">
        <f t="shared" si="50"/>
        <v>6550390.2617999995</v>
      </c>
      <c r="X208" s="99" t="s">
        <v>452</v>
      </c>
      <c r="AJ208" t="s">
        <v>25</v>
      </c>
    </row>
    <row r="209" spans="17:45">
      <c r="Q209" s="99"/>
      <c r="R209" s="99" t="s">
        <v>993</v>
      </c>
      <c r="S209" s="95">
        <v>3000000</v>
      </c>
      <c r="T209" s="210" t="s">
        <v>4662</v>
      </c>
      <c r="U209" s="210">
        <v>27437</v>
      </c>
      <c r="V209" s="113">
        <v>242.4015</v>
      </c>
      <c r="W209" s="113">
        <f t="shared" si="50"/>
        <v>6650769.9555000002</v>
      </c>
      <c r="X209" s="99" t="s">
        <v>751</v>
      </c>
      <c r="AP209" t="s">
        <v>25</v>
      </c>
    </row>
    <row r="210" spans="17:45">
      <c r="Q210" s="99"/>
      <c r="R210" s="99" t="s">
        <v>4651</v>
      </c>
      <c r="S210" s="95">
        <v>3000000</v>
      </c>
      <c r="T210" s="210" t="s">
        <v>4662</v>
      </c>
      <c r="U210" s="210">
        <v>29104</v>
      </c>
      <c r="V210" s="113">
        <v>242.4015</v>
      </c>
      <c r="W210" s="113">
        <f t="shared" si="50"/>
        <v>7054853.2560000001</v>
      </c>
      <c r="X210" s="99" t="s">
        <v>452</v>
      </c>
      <c r="Z210" t="s">
        <v>25</v>
      </c>
    </row>
    <row r="211" spans="17:45">
      <c r="Q211" s="99" t="s">
        <v>4841</v>
      </c>
      <c r="R211" s="99" t="s">
        <v>4836</v>
      </c>
      <c r="S211" s="95">
        <v>-800000</v>
      </c>
      <c r="T211" s="213" t="s">
        <v>4685</v>
      </c>
      <c r="U211" s="213">
        <v>8991</v>
      </c>
      <c r="V211" s="113">
        <v>238.64867000000001</v>
      </c>
      <c r="W211" s="113">
        <f t="shared" si="50"/>
        <v>2145690.19197</v>
      </c>
      <c r="X211" s="99" t="s">
        <v>751</v>
      </c>
    </row>
    <row r="212" spans="17:45">
      <c r="Q212" s="99" t="s">
        <v>4842</v>
      </c>
      <c r="R212" s="99" t="s">
        <v>4836</v>
      </c>
      <c r="S212" s="95">
        <v>-900000</v>
      </c>
      <c r="T212" s="213" t="s">
        <v>4685</v>
      </c>
      <c r="U212" s="213">
        <v>8991</v>
      </c>
      <c r="V212" s="113">
        <v>238.64867000000001</v>
      </c>
      <c r="W212" s="113">
        <f t="shared" si="50"/>
        <v>2145690.19197</v>
      </c>
      <c r="X212" s="99" t="s">
        <v>452</v>
      </c>
    </row>
    <row r="213" spans="17:45">
      <c r="Q213" s="99" t="s">
        <v>4842</v>
      </c>
      <c r="R213" s="99" t="s">
        <v>980</v>
      </c>
      <c r="S213" s="95">
        <v>-1100000</v>
      </c>
      <c r="T213" s="213" t="s">
        <v>4696</v>
      </c>
      <c r="U213" s="213">
        <v>18170</v>
      </c>
      <c r="V213" s="113">
        <v>240.48475999999999</v>
      </c>
      <c r="W213" s="113">
        <f t="shared" si="50"/>
        <v>4369608.0892000003</v>
      </c>
      <c r="X213" s="99" t="s">
        <v>751</v>
      </c>
      <c r="AH213" s="99" t="s">
        <v>3640</v>
      </c>
      <c r="AI213" s="99" t="s">
        <v>180</v>
      </c>
      <c r="AJ213" s="99" t="s">
        <v>267</v>
      </c>
      <c r="AK213" s="99" t="s">
        <v>4057</v>
      </c>
      <c r="AL213" s="99" t="s">
        <v>4049</v>
      </c>
      <c r="AM213" s="99" t="s">
        <v>282</v>
      </c>
      <c r="AN213" s="99" t="s">
        <v>4291</v>
      </c>
      <c r="AR213" t="s">
        <v>25</v>
      </c>
    </row>
    <row r="214" spans="17:45">
      <c r="Q214" s="195" t="s">
        <v>1086</v>
      </c>
      <c r="R214" s="195" t="s">
        <v>4865</v>
      </c>
      <c r="S214" s="242">
        <v>30000000</v>
      </c>
      <c r="T214" s="213" t="s">
        <v>4696</v>
      </c>
      <c r="U214" s="213">
        <v>18170</v>
      </c>
      <c r="V214" s="113">
        <v>240.48475999999999</v>
      </c>
      <c r="W214" s="113">
        <f t="shared" si="50"/>
        <v>4369608.0892000003</v>
      </c>
      <c r="X214" s="99" t="s">
        <v>452</v>
      </c>
      <c r="AH214" s="99">
        <v>1</v>
      </c>
      <c r="AI214" s="99" t="s">
        <v>3948</v>
      </c>
      <c r="AJ214" s="117">
        <v>3555820</v>
      </c>
      <c r="AK214" s="99">
        <v>2</v>
      </c>
      <c r="AL214" s="99">
        <f>AK214+AL215</f>
        <v>432</v>
      </c>
      <c r="AM214" s="99">
        <f>AJ214*AL214</f>
        <v>1536114240</v>
      </c>
      <c r="AN214" s="99" t="s">
        <v>4311</v>
      </c>
      <c r="AQ214" t="s">
        <v>25</v>
      </c>
    </row>
    <row r="215" spans="17:45">
      <c r="Q215" s="20" t="s">
        <v>4951</v>
      </c>
      <c r="R215" s="20" t="s">
        <v>4949</v>
      </c>
      <c r="S215" s="247">
        <v>2000000</v>
      </c>
      <c r="T215" s="213" t="s">
        <v>4698</v>
      </c>
      <c r="U215" s="213">
        <v>36797</v>
      </c>
      <c r="V215" s="113">
        <v>239.0822</v>
      </c>
      <c r="W215" s="113">
        <f t="shared" si="50"/>
        <v>8797507.7134000007</v>
      </c>
      <c r="X215" s="99" t="s">
        <v>751</v>
      </c>
      <c r="AH215" s="99">
        <v>2</v>
      </c>
      <c r="AI215" s="99" t="s">
        <v>4023</v>
      </c>
      <c r="AJ215" s="117">
        <v>1720837</v>
      </c>
      <c r="AK215" s="99">
        <v>51</v>
      </c>
      <c r="AL215" s="99">
        <f t="shared" ref="AL215:AL224" si="51">AK215+AL216</f>
        <v>430</v>
      </c>
      <c r="AM215" s="99">
        <f t="shared" ref="AM215:AM243" si="52">AJ215*AL215</f>
        <v>739959910</v>
      </c>
      <c r="AN215" s="99" t="s">
        <v>4312</v>
      </c>
    </row>
    <row r="216" spans="17:45">
      <c r="Q216" s="149" t="s">
        <v>4976</v>
      </c>
      <c r="R216" s="149" t="s">
        <v>4975</v>
      </c>
      <c r="S216" s="150">
        <v>480105</v>
      </c>
      <c r="T216" s="213" t="s">
        <v>4698</v>
      </c>
      <c r="U216" s="213">
        <v>36797</v>
      </c>
      <c r="V216" s="113">
        <v>239.0822</v>
      </c>
      <c r="W216" s="113">
        <f t="shared" si="50"/>
        <v>8797507.7134000007</v>
      </c>
      <c r="X216" s="99" t="s">
        <v>452</v>
      </c>
      <c r="AH216" s="99">
        <v>3</v>
      </c>
      <c r="AI216" s="99" t="s">
        <v>4129</v>
      </c>
      <c r="AJ216" s="117">
        <v>150000</v>
      </c>
      <c r="AK216" s="99">
        <v>3</v>
      </c>
      <c r="AL216" s="99">
        <f t="shared" si="51"/>
        <v>379</v>
      </c>
      <c r="AM216" s="99">
        <f t="shared" si="52"/>
        <v>56850000</v>
      </c>
      <c r="AN216" s="99"/>
    </row>
    <row r="217" spans="17:45">
      <c r="Q217" s="149"/>
      <c r="R217" s="149" t="s">
        <v>5031</v>
      </c>
      <c r="S217" s="150">
        <v>30500000</v>
      </c>
      <c r="T217" s="213" t="s">
        <v>4707</v>
      </c>
      <c r="U217" s="213">
        <v>28066</v>
      </c>
      <c r="V217" s="113">
        <v>237.56970000000001</v>
      </c>
      <c r="W217" s="113">
        <f t="shared" si="50"/>
        <v>6667631.2002000008</v>
      </c>
      <c r="X217" s="99" t="s">
        <v>751</v>
      </c>
      <c r="AH217" s="99">
        <v>4</v>
      </c>
      <c r="AI217" s="99" t="s">
        <v>4144</v>
      </c>
      <c r="AJ217" s="117">
        <v>-95000</v>
      </c>
      <c r="AK217" s="99">
        <v>8</v>
      </c>
      <c r="AL217" s="99">
        <f t="shared" si="51"/>
        <v>376</v>
      </c>
      <c r="AM217" s="99">
        <f t="shared" si="52"/>
        <v>-35720000</v>
      </c>
      <c r="AN217" s="99"/>
    </row>
    <row r="218" spans="17:45">
      <c r="Q218" s="20" t="s">
        <v>5078</v>
      </c>
      <c r="R218" s="20" t="s">
        <v>5073</v>
      </c>
      <c r="S218" s="247">
        <v>-400000</v>
      </c>
      <c r="T218" s="213" t="s">
        <v>4707</v>
      </c>
      <c r="U218" s="213">
        <v>28066</v>
      </c>
      <c r="V218" s="113">
        <v>237.56970000000001</v>
      </c>
      <c r="W218" s="113">
        <f t="shared" si="50"/>
        <v>6667631.2002000008</v>
      </c>
      <c r="X218" s="99" t="s">
        <v>452</v>
      </c>
      <c r="AH218" s="99">
        <v>5</v>
      </c>
      <c r="AI218" s="99" t="s">
        <v>4171</v>
      </c>
      <c r="AJ218" s="117">
        <v>3150000</v>
      </c>
      <c r="AK218" s="99">
        <v>16</v>
      </c>
      <c r="AL218" s="99">
        <f t="shared" si="51"/>
        <v>368</v>
      </c>
      <c r="AM218" s="99">
        <f t="shared" si="52"/>
        <v>1159200000</v>
      </c>
      <c r="AN218" s="99"/>
      <c r="AS218" t="s">
        <v>25</v>
      </c>
    </row>
    <row r="219" spans="17:45">
      <c r="Q219" s="149" t="s">
        <v>5224</v>
      </c>
      <c r="R219" s="149" t="s">
        <v>5116</v>
      </c>
      <c r="S219" s="150">
        <v>-349550</v>
      </c>
      <c r="T219" s="213" t="s">
        <v>3683</v>
      </c>
      <c r="U219" s="213">
        <v>37457</v>
      </c>
      <c r="V219" s="113">
        <v>239.77</v>
      </c>
      <c r="W219" s="113">
        <f t="shared" si="50"/>
        <v>8981064.8900000006</v>
      </c>
      <c r="X219" s="99" t="s">
        <v>751</v>
      </c>
      <c r="AH219" s="99">
        <v>6</v>
      </c>
      <c r="AI219" s="99" t="s">
        <v>4239</v>
      </c>
      <c r="AJ219" s="117">
        <v>-65000</v>
      </c>
      <c r="AK219" s="99">
        <v>1</v>
      </c>
      <c r="AL219" s="99">
        <f t="shared" si="51"/>
        <v>352</v>
      </c>
      <c r="AM219" s="99">
        <f t="shared" si="52"/>
        <v>-22880000</v>
      </c>
      <c r="AN219" s="99"/>
    </row>
    <row r="220" spans="17:45">
      <c r="Q220" s="149" t="s">
        <v>5278</v>
      </c>
      <c r="R220" s="149" t="s">
        <v>5270</v>
      </c>
      <c r="S220" s="150">
        <v>11500000</v>
      </c>
      <c r="T220" s="213" t="s">
        <v>3683</v>
      </c>
      <c r="U220" s="213">
        <v>37457</v>
      </c>
      <c r="V220" s="113">
        <v>239.77</v>
      </c>
      <c r="W220" s="113">
        <f t="shared" si="50"/>
        <v>8981064.8900000006</v>
      </c>
      <c r="X220" s="99" t="s">
        <v>452</v>
      </c>
      <c r="AH220" s="99">
        <v>7</v>
      </c>
      <c r="AI220" s="99" t="s">
        <v>4313</v>
      </c>
      <c r="AJ220" s="117">
        <v>-95000</v>
      </c>
      <c r="AK220" s="99">
        <v>6</v>
      </c>
      <c r="AL220" s="99">
        <f t="shared" si="51"/>
        <v>351</v>
      </c>
      <c r="AM220" s="99">
        <f t="shared" si="52"/>
        <v>-33345000</v>
      </c>
      <c r="AN220" s="99"/>
    </row>
    <row r="221" spans="17:45">
      <c r="Q221" s="99"/>
      <c r="R221" s="99"/>
      <c r="S221" s="95"/>
      <c r="T221" s="213" t="s">
        <v>4720</v>
      </c>
      <c r="U221" s="213">
        <v>38412</v>
      </c>
      <c r="V221" s="113">
        <v>239.03</v>
      </c>
      <c r="W221" s="113">
        <f t="shared" si="50"/>
        <v>9181620.3599999994</v>
      </c>
      <c r="X221" s="99" t="s">
        <v>751</v>
      </c>
      <c r="AH221" s="99">
        <v>8</v>
      </c>
      <c r="AI221" s="99" t="s">
        <v>4314</v>
      </c>
      <c r="AJ221" s="117">
        <v>232000</v>
      </c>
      <c r="AK221" s="99">
        <v>7</v>
      </c>
      <c r="AL221" s="99">
        <f t="shared" si="51"/>
        <v>345</v>
      </c>
      <c r="AM221" s="99">
        <f t="shared" si="52"/>
        <v>80040000</v>
      </c>
      <c r="AN221" s="99"/>
    </row>
    <row r="222" spans="17:45">
      <c r="Q222" s="99"/>
      <c r="R222" s="99"/>
      <c r="S222" s="95">
        <f>SUM(S205:S221)</f>
        <v>84930555</v>
      </c>
      <c r="T222" s="213" t="s">
        <v>4720</v>
      </c>
      <c r="U222" s="213">
        <v>38412</v>
      </c>
      <c r="V222" s="113">
        <v>239.03</v>
      </c>
      <c r="W222" s="113">
        <f t="shared" si="50"/>
        <v>9181620.3599999994</v>
      </c>
      <c r="X222" s="99" t="s">
        <v>452</v>
      </c>
      <c r="AH222" s="99">
        <v>9</v>
      </c>
      <c r="AI222" s="99" t="s">
        <v>4290</v>
      </c>
      <c r="AJ222" s="117">
        <v>13000000</v>
      </c>
      <c r="AK222" s="99">
        <v>2</v>
      </c>
      <c r="AL222" s="99">
        <f t="shared" si="51"/>
        <v>338</v>
      </c>
      <c r="AM222" s="99">
        <f t="shared" si="52"/>
        <v>4394000000</v>
      </c>
      <c r="AN222" s="99"/>
    </row>
    <row r="223" spans="17:45">
      <c r="Q223" s="99"/>
      <c r="R223" s="99"/>
      <c r="S223" s="99" t="s">
        <v>6</v>
      </c>
      <c r="T223" s="213" t="s">
        <v>4724</v>
      </c>
      <c r="U223" s="213">
        <v>49555</v>
      </c>
      <c r="V223" s="113">
        <v>238.345</v>
      </c>
      <c r="W223" s="113">
        <f t="shared" si="50"/>
        <v>11811186.475</v>
      </c>
      <c r="X223" s="99" t="s">
        <v>751</v>
      </c>
      <c r="AH223" s="99">
        <v>10</v>
      </c>
      <c r="AI223" s="99" t="s">
        <v>4315</v>
      </c>
      <c r="AJ223" s="117">
        <v>10000000</v>
      </c>
      <c r="AK223" s="99">
        <v>3</v>
      </c>
      <c r="AL223" s="99">
        <f t="shared" si="51"/>
        <v>336</v>
      </c>
      <c r="AM223" s="99">
        <f t="shared" si="52"/>
        <v>3360000000</v>
      </c>
      <c r="AN223" s="99"/>
    </row>
    <row r="224" spans="17:45">
      <c r="T224" s="213" t="s">
        <v>4724</v>
      </c>
      <c r="U224" s="213">
        <v>49555</v>
      </c>
      <c r="V224" s="113">
        <v>238.345</v>
      </c>
      <c r="W224" s="113">
        <f t="shared" si="50"/>
        <v>11811186.475</v>
      </c>
      <c r="X224" s="99" t="s">
        <v>452</v>
      </c>
      <c r="Z224" t="s">
        <v>25</v>
      </c>
      <c r="AH224" s="99">
        <v>11</v>
      </c>
      <c r="AI224" s="99" t="s">
        <v>4303</v>
      </c>
      <c r="AJ224" s="117">
        <v>3400000</v>
      </c>
      <c r="AK224" s="99">
        <v>9</v>
      </c>
      <c r="AL224" s="99">
        <f t="shared" si="51"/>
        <v>333</v>
      </c>
      <c r="AM224" s="99">
        <f t="shared" si="52"/>
        <v>1132200000</v>
      </c>
      <c r="AN224" s="99"/>
    </row>
    <row r="225" spans="17:44">
      <c r="Q225" s="96"/>
      <c r="R225" s="96" t="s">
        <v>25</v>
      </c>
      <c r="T225" s="213" t="s">
        <v>4738</v>
      </c>
      <c r="U225" s="213">
        <v>160187</v>
      </c>
      <c r="V225" s="113">
        <v>257.49799999999999</v>
      </c>
      <c r="W225" s="113">
        <f t="shared" si="50"/>
        <v>41247832.126000002</v>
      </c>
      <c r="X225" s="99" t="s">
        <v>751</v>
      </c>
      <c r="AH225" s="99">
        <v>12</v>
      </c>
      <c r="AI225" s="99" t="s">
        <v>4345</v>
      </c>
      <c r="AJ225" s="117">
        <v>-8736514</v>
      </c>
      <c r="AK225" s="99">
        <v>1</v>
      </c>
      <c r="AL225" s="99">
        <f>AK225+AL226</f>
        <v>324</v>
      </c>
      <c r="AM225" s="99">
        <f t="shared" si="52"/>
        <v>-2830630536</v>
      </c>
      <c r="AN225" s="99"/>
    </row>
    <row r="226" spans="17:44">
      <c r="Q226" s="96"/>
      <c r="R226" s="96" t="s">
        <v>25</v>
      </c>
      <c r="T226" s="213" t="s">
        <v>4738</v>
      </c>
      <c r="U226" s="213">
        <v>160187</v>
      </c>
      <c r="V226" s="113">
        <v>257.49799999999999</v>
      </c>
      <c r="W226" s="113">
        <f t="shared" si="50"/>
        <v>41247832.126000002</v>
      </c>
      <c r="X226" s="99" t="s">
        <v>452</v>
      </c>
      <c r="Y226" t="s">
        <v>25</v>
      </c>
      <c r="AH226" s="99">
        <v>13</v>
      </c>
      <c r="AI226" s="99" t="s">
        <v>4346</v>
      </c>
      <c r="AJ226" s="117">
        <v>555000</v>
      </c>
      <c r="AK226" s="99">
        <v>5</v>
      </c>
      <c r="AL226" s="99">
        <f t="shared" ref="AL226:AL242" si="53">AK226+AL227</f>
        <v>323</v>
      </c>
      <c r="AM226" s="99">
        <f t="shared" si="52"/>
        <v>179265000</v>
      </c>
      <c r="AN226" s="99"/>
    </row>
    <row r="227" spans="17:44">
      <c r="T227" s="213" t="s">
        <v>4746</v>
      </c>
      <c r="U227" s="213">
        <v>144401</v>
      </c>
      <c r="V227" s="113">
        <v>258.5061</v>
      </c>
      <c r="W227" s="113">
        <f t="shared" si="50"/>
        <v>37328539.346100003</v>
      </c>
      <c r="X227" s="99" t="s">
        <v>751</v>
      </c>
      <c r="AH227" s="99">
        <v>14</v>
      </c>
      <c r="AI227" s="99" t="s">
        <v>4370</v>
      </c>
      <c r="AJ227" s="117">
        <v>-448308</v>
      </c>
      <c r="AK227" s="99">
        <v>6</v>
      </c>
      <c r="AL227" s="99">
        <f t="shared" si="53"/>
        <v>318</v>
      </c>
      <c r="AM227" s="99">
        <f t="shared" si="52"/>
        <v>-142561944</v>
      </c>
      <c r="AN227" s="99"/>
    </row>
    <row r="228" spans="17:44">
      <c r="Q228" s="99" t="s">
        <v>751</v>
      </c>
      <c r="R228" s="99"/>
      <c r="T228" s="213" t="s">
        <v>4746</v>
      </c>
      <c r="U228" s="213">
        <v>144401</v>
      </c>
      <c r="V228" s="113">
        <v>258.5061</v>
      </c>
      <c r="W228" s="113">
        <f t="shared" si="50"/>
        <v>37328539.346100003</v>
      </c>
      <c r="X228" s="99" t="s">
        <v>452</v>
      </c>
      <c r="Y228" s="96"/>
      <c r="AH228" s="99">
        <v>15</v>
      </c>
      <c r="AI228" s="99" t="s">
        <v>4400</v>
      </c>
      <c r="AJ228" s="117">
        <v>33225</v>
      </c>
      <c r="AK228" s="99">
        <v>0</v>
      </c>
      <c r="AL228" s="99">
        <f t="shared" si="53"/>
        <v>312</v>
      </c>
      <c r="AM228" s="99">
        <f t="shared" si="52"/>
        <v>10366200</v>
      </c>
      <c r="AN228" s="99"/>
    </row>
    <row r="229" spans="17:44">
      <c r="Q229" s="99" t="s">
        <v>4437</v>
      </c>
      <c r="R229" s="95">
        <v>172908000</v>
      </c>
      <c r="T229" s="168" t="s">
        <v>4753</v>
      </c>
      <c r="U229" s="168">
        <v>196500</v>
      </c>
      <c r="V229" s="113">
        <v>254.452</v>
      </c>
      <c r="W229" s="113">
        <f t="shared" si="50"/>
        <v>49999818</v>
      </c>
      <c r="X229" s="99" t="s">
        <v>4757</v>
      </c>
      <c r="Y229" t="s">
        <v>25</v>
      </c>
      <c r="AH229" s="149">
        <v>16</v>
      </c>
      <c r="AI229" s="149" t="s">
        <v>4400</v>
      </c>
      <c r="AJ229" s="188">
        <v>4098523</v>
      </c>
      <c r="AK229" s="149">
        <v>2</v>
      </c>
      <c r="AL229" s="149">
        <f t="shared" si="53"/>
        <v>312</v>
      </c>
      <c r="AM229" s="149">
        <f t="shared" si="52"/>
        <v>1278739176</v>
      </c>
      <c r="AN229" s="149" t="s">
        <v>657</v>
      </c>
    </row>
    <row r="230" spans="17:44">
      <c r="Q230" s="99" t="s">
        <v>4478</v>
      </c>
      <c r="R230" s="95">
        <v>1400000</v>
      </c>
      <c r="T230" s="213" t="s">
        <v>4753</v>
      </c>
      <c r="U230" s="213">
        <v>2561</v>
      </c>
      <c r="V230" s="113">
        <v>254.536</v>
      </c>
      <c r="W230" s="113">
        <f t="shared" si="50"/>
        <v>651866.696</v>
      </c>
      <c r="X230" s="99" t="s">
        <v>4758</v>
      </c>
      <c r="AH230" s="149">
        <v>17</v>
      </c>
      <c r="AI230" s="149" t="s">
        <v>4413</v>
      </c>
      <c r="AJ230" s="188">
        <v>-1000000</v>
      </c>
      <c r="AK230" s="149">
        <v>7</v>
      </c>
      <c r="AL230" s="149">
        <f t="shared" si="53"/>
        <v>310</v>
      </c>
      <c r="AM230" s="149">
        <f t="shared" si="52"/>
        <v>-310000000</v>
      </c>
      <c r="AN230" s="149" t="s">
        <v>657</v>
      </c>
      <c r="AQ230" t="s">
        <v>25</v>
      </c>
    </row>
    <row r="231" spans="17:44">
      <c r="Q231" s="99" t="s">
        <v>4230</v>
      </c>
      <c r="R231" s="95">
        <v>247393</v>
      </c>
      <c r="S231" t="s">
        <v>25</v>
      </c>
      <c r="T231" s="213" t="s">
        <v>4802</v>
      </c>
      <c r="U231" s="213">
        <v>-11795</v>
      </c>
      <c r="V231" s="113">
        <v>254.334</v>
      </c>
      <c r="W231" s="113">
        <f t="shared" si="50"/>
        <v>-2999869.5300000003</v>
      </c>
      <c r="X231" s="99" t="s">
        <v>4803</v>
      </c>
      <c r="AH231" s="149">
        <v>18</v>
      </c>
      <c r="AI231" s="149" t="s">
        <v>4433</v>
      </c>
      <c r="AJ231" s="188">
        <v>750000</v>
      </c>
      <c r="AK231" s="149">
        <v>1</v>
      </c>
      <c r="AL231" s="149">
        <f t="shared" si="53"/>
        <v>303</v>
      </c>
      <c r="AM231" s="149">
        <f t="shared" si="52"/>
        <v>227250000</v>
      </c>
      <c r="AN231" s="149" t="s">
        <v>657</v>
      </c>
    </row>
    <row r="232" spans="17:44">
      <c r="Q232" s="99" t="s">
        <v>4229</v>
      </c>
      <c r="R232" s="95">
        <v>6780000</v>
      </c>
      <c r="T232" s="213" t="s">
        <v>4802</v>
      </c>
      <c r="U232" s="213">
        <v>11795</v>
      </c>
      <c r="V232" s="113">
        <v>254.334</v>
      </c>
      <c r="W232" s="113">
        <f t="shared" si="50"/>
        <v>2999869.5300000003</v>
      </c>
      <c r="X232" s="99" t="s">
        <v>4804</v>
      </c>
      <c r="AH232" s="195">
        <v>19</v>
      </c>
      <c r="AI232" s="195" t="s">
        <v>4435</v>
      </c>
      <c r="AJ232" s="196">
        <v>-604152</v>
      </c>
      <c r="AK232" s="195">
        <v>0</v>
      </c>
      <c r="AL232" s="195">
        <f t="shared" si="53"/>
        <v>302</v>
      </c>
      <c r="AM232" s="195">
        <f t="shared" si="52"/>
        <v>-182453904</v>
      </c>
      <c r="AN232" s="195" t="s">
        <v>657</v>
      </c>
    </row>
    <row r="233" spans="17:44">
      <c r="Q233" s="99" t="s">
        <v>4586</v>
      </c>
      <c r="R233" s="95">
        <v>-4000000</v>
      </c>
      <c r="T233" s="213" t="s">
        <v>4817</v>
      </c>
      <c r="U233" s="213">
        <v>260</v>
      </c>
      <c r="V233" s="113">
        <v>263.19</v>
      </c>
      <c r="W233" s="113">
        <f t="shared" si="50"/>
        <v>68429.399999999994</v>
      </c>
      <c r="X233" s="99" t="s">
        <v>452</v>
      </c>
      <c r="Y233" t="s">
        <v>25</v>
      </c>
      <c r="AH233" s="99">
        <v>20</v>
      </c>
      <c r="AI233" s="99" t="s">
        <v>4436</v>
      </c>
      <c r="AJ233" s="117">
        <v>-587083</v>
      </c>
      <c r="AK233" s="99">
        <v>4</v>
      </c>
      <c r="AL233" s="99">
        <f t="shared" si="53"/>
        <v>302</v>
      </c>
      <c r="AM233" s="99">
        <f t="shared" si="52"/>
        <v>-177299066</v>
      </c>
      <c r="AN233" s="99"/>
    </row>
    <row r="234" spans="17:44">
      <c r="Q234" s="99" t="s">
        <v>4618</v>
      </c>
      <c r="R234" s="95">
        <v>16727037</v>
      </c>
      <c r="T234" s="213" t="s">
        <v>4831</v>
      </c>
      <c r="U234" s="213">
        <v>15257</v>
      </c>
      <c r="V234" s="113">
        <v>262.19018</v>
      </c>
      <c r="W234" s="113">
        <f t="shared" si="50"/>
        <v>4000235.57626</v>
      </c>
      <c r="X234" s="99" t="s">
        <v>452</v>
      </c>
      <c r="AH234" s="195">
        <v>21</v>
      </c>
      <c r="AI234" s="195" t="s">
        <v>4437</v>
      </c>
      <c r="AJ234" s="196">
        <v>-754351</v>
      </c>
      <c r="AK234" s="195">
        <v>0</v>
      </c>
      <c r="AL234" s="149">
        <f t="shared" si="53"/>
        <v>298</v>
      </c>
      <c r="AM234" s="195">
        <f t="shared" si="52"/>
        <v>-224796598</v>
      </c>
      <c r="AN234" s="195" t="s">
        <v>657</v>
      </c>
    </row>
    <row r="235" spans="17:44">
      <c r="Q235" s="99" t="s">
        <v>4623</v>
      </c>
      <c r="R235" s="95">
        <v>46460683</v>
      </c>
      <c r="S235" t="s">
        <v>25</v>
      </c>
      <c r="T235" s="213" t="s">
        <v>4831</v>
      </c>
      <c r="U235" s="213">
        <v>8444</v>
      </c>
      <c r="V235" s="113">
        <v>266.43029999999999</v>
      </c>
      <c r="W235" s="113">
        <f t="shared" si="50"/>
        <v>2249737.4531999999</v>
      </c>
      <c r="X235" s="99" t="s">
        <v>452</v>
      </c>
      <c r="Z235" t="s">
        <v>25</v>
      </c>
      <c r="AA235" t="s">
        <v>25</v>
      </c>
      <c r="AH235" s="99">
        <v>22</v>
      </c>
      <c r="AI235" s="99" t="s">
        <v>4437</v>
      </c>
      <c r="AJ235" s="117">
        <v>-189619</v>
      </c>
      <c r="AK235" s="99">
        <v>15</v>
      </c>
      <c r="AL235" s="99">
        <f t="shared" si="53"/>
        <v>298</v>
      </c>
      <c r="AM235" s="99">
        <f t="shared" si="52"/>
        <v>-56506462</v>
      </c>
      <c r="AN235" s="99"/>
    </row>
    <row r="236" spans="17:44">
      <c r="Q236" s="99" t="s">
        <v>4624</v>
      </c>
      <c r="R236" s="95">
        <v>19663646</v>
      </c>
      <c r="T236" s="213" t="s">
        <v>4836</v>
      </c>
      <c r="U236" s="213">
        <v>-6209</v>
      </c>
      <c r="V236" s="113">
        <v>273.79649999999998</v>
      </c>
      <c r="W236" s="113">
        <f t="shared" si="50"/>
        <v>-1700002.4685</v>
      </c>
      <c r="X236" s="99" t="s">
        <v>4847</v>
      </c>
      <c r="AH236" s="195">
        <v>23</v>
      </c>
      <c r="AI236" s="195" t="s">
        <v>4509</v>
      </c>
      <c r="AJ236" s="188">
        <v>7100</v>
      </c>
      <c r="AK236" s="195">
        <v>0</v>
      </c>
      <c r="AL236" s="149">
        <f t="shared" si="53"/>
        <v>283</v>
      </c>
      <c r="AM236" s="195">
        <f t="shared" si="52"/>
        <v>2009300</v>
      </c>
      <c r="AN236" s="195" t="s">
        <v>657</v>
      </c>
    </row>
    <row r="237" spans="17:44">
      <c r="Q237" s="99" t="s">
        <v>4648</v>
      </c>
      <c r="R237" s="95">
        <v>4374525</v>
      </c>
      <c r="T237" s="213" t="s">
        <v>4836</v>
      </c>
      <c r="U237" s="213">
        <v>-8014</v>
      </c>
      <c r="V237" s="113">
        <v>273.79649999999998</v>
      </c>
      <c r="W237" s="113">
        <f t="shared" si="50"/>
        <v>-2194205.1510000001</v>
      </c>
      <c r="X237" s="99" t="s">
        <v>751</v>
      </c>
      <c r="Y237" t="s">
        <v>25</v>
      </c>
      <c r="AH237" s="20">
        <v>24</v>
      </c>
      <c r="AI237" s="20" t="s">
        <v>4509</v>
      </c>
      <c r="AJ237" s="117">
        <v>-147902</v>
      </c>
      <c r="AK237" s="20">
        <v>3</v>
      </c>
      <c r="AL237" s="99">
        <f t="shared" si="53"/>
        <v>283</v>
      </c>
      <c r="AM237" s="20">
        <f t="shared" si="52"/>
        <v>-41856266</v>
      </c>
      <c r="AN237" s="20"/>
    </row>
    <row r="238" spans="17:44">
      <c r="Q238" s="99" t="s">
        <v>4660</v>
      </c>
      <c r="R238" s="95">
        <v>6550580</v>
      </c>
      <c r="T238" s="213" t="s">
        <v>4845</v>
      </c>
      <c r="U238" s="213">
        <v>-9176</v>
      </c>
      <c r="V238" s="113">
        <v>273.79649999999998</v>
      </c>
      <c r="W238" s="113">
        <f t="shared" si="50"/>
        <v>-2512356.6839999999</v>
      </c>
      <c r="X238" s="99" t="s">
        <v>452</v>
      </c>
      <c r="AH238" s="149">
        <v>25</v>
      </c>
      <c r="AI238" s="149" t="s">
        <v>4517</v>
      </c>
      <c r="AJ238" s="188">
        <v>-37200</v>
      </c>
      <c r="AK238" s="149">
        <v>4</v>
      </c>
      <c r="AL238" s="149">
        <f t="shared" si="53"/>
        <v>280</v>
      </c>
      <c r="AM238" s="195">
        <f t="shared" si="52"/>
        <v>-10416000</v>
      </c>
      <c r="AN238" s="149" t="s">
        <v>657</v>
      </c>
      <c r="AR238" t="s">
        <v>25</v>
      </c>
    </row>
    <row r="239" spans="17:44">
      <c r="Q239" s="99" t="s">
        <v>4662</v>
      </c>
      <c r="R239" s="95">
        <v>6650895</v>
      </c>
      <c r="T239" s="213" t="s">
        <v>4845</v>
      </c>
      <c r="U239" s="213">
        <v>1087</v>
      </c>
      <c r="V239" s="113">
        <v>273.79649999999998</v>
      </c>
      <c r="W239" s="113">
        <f t="shared" si="50"/>
        <v>297616.79550000001</v>
      </c>
      <c r="X239" s="99" t="s">
        <v>452</v>
      </c>
      <c r="AH239" s="99">
        <v>26</v>
      </c>
      <c r="AI239" s="99" t="s">
        <v>4548</v>
      </c>
      <c r="AJ239" s="117">
        <v>-372326</v>
      </c>
      <c r="AK239" s="99">
        <v>21</v>
      </c>
      <c r="AL239" s="99">
        <f t="shared" si="53"/>
        <v>276</v>
      </c>
      <c r="AM239" s="20">
        <f t="shared" si="52"/>
        <v>-102761976</v>
      </c>
      <c r="AN239" s="99"/>
      <c r="AR239" t="s">
        <v>25</v>
      </c>
    </row>
    <row r="240" spans="17:44">
      <c r="Q240" s="99" t="s">
        <v>4685</v>
      </c>
      <c r="R240" s="95">
        <v>2145814</v>
      </c>
      <c r="T240" s="213" t="s">
        <v>980</v>
      </c>
      <c r="U240" s="213">
        <v>-4017</v>
      </c>
      <c r="V240" s="113">
        <v>273.79649999999998</v>
      </c>
      <c r="W240" s="113">
        <f t="shared" si="50"/>
        <v>-1099840.5404999999</v>
      </c>
      <c r="X240" s="99" t="s">
        <v>4444</v>
      </c>
      <c r="AH240" s="99">
        <v>27</v>
      </c>
      <c r="AI240" s="99" t="s">
        <v>4600</v>
      </c>
      <c r="AJ240" s="117">
        <v>235062</v>
      </c>
      <c r="AK240" s="99">
        <v>0</v>
      </c>
      <c r="AL240" s="99">
        <f t="shared" si="53"/>
        <v>255</v>
      </c>
      <c r="AM240" s="20">
        <f t="shared" si="52"/>
        <v>59940810</v>
      </c>
      <c r="AN240" s="99"/>
    </row>
    <row r="241" spans="16:43">
      <c r="Q241" s="99" t="s">
        <v>4696</v>
      </c>
      <c r="R241" s="95">
        <v>4369730</v>
      </c>
      <c r="T241" s="213" t="s">
        <v>980</v>
      </c>
      <c r="U241" s="213">
        <v>4017</v>
      </c>
      <c r="V241" s="113">
        <v>273.79649999999998</v>
      </c>
      <c r="W241" s="113">
        <f t="shared" si="50"/>
        <v>1099840.5404999999</v>
      </c>
      <c r="X241" s="99" t="s">
        <v>452</v>
      </c>
      <c r="AH241" s="149">
        <v>28</v>
      </c>
      <c r="AI241" s="149" t="s">
        <v>4600</v>
      </c>
      <c r="AJ241" s="188">
        <v>235062</v>
      </c>
      <c r="AK241" s="149">
        <v>9</v>
      </c>
      <c r="AL241" s="99">
        <f t="shared" si="53"/>
        <v>255</v>
      </c>
      <c r="AM241" s="149">
        <f t="shared" si="52"/>
        <v>59940810</v>
      </c>
      <c r="AN241" s="149" t="s">
        <v>657</v>
      </c>
    </row>
    <row r="242" spans="16:43">
      <c r="Q242" s="99" t="s">
        <v>4698</v>
      </c>
      <c r="R242" s="95">
        <v>8739459</v>
      </c>
      <c r="S242" t="s">
        <v>25</v>
      </c>
      <c r="T242" s="213" t="s">
        <v>4852</v>
      </c>
      <c r="U242" s="213">
        <v>3137</v>
      </c>
      <c r="V242" s="113">
        <v>283.69110000000001</v>
      </c>
      <c r="W242" s="113">
        <f t="shared" si="50"/>
        <v>889938.98070000007</v>
      </c>
      <c r="X242" s="99" t="s">
        <v>452</v>
      </c>
      <c r="AH242" s="149">
        <v>29</v>
      </c>
      <c r="AI242" s="149" t="s">
        <v>4624</v>
      </c>
      <c r="AJ242" s="188">
        <v>450000</v>
      </c>
      <c r="AK242" s="149">
        <v>0</v>
      </c>
      <c r="AL242" s="99">
        <f t="shared" si="53"/>
        <v>246</v>
      </c>
      <c r="AM242" s="149">
        <f t="shared" si="52"/>
        <v>110700000</v>
      </c>
      <c r="AN242" s="149" t="s">
        <v>657</v>
      </c>
    </row>
    <row r="243" spans="16:43">
      <c r="Q243" s="99" t="s">
        <v>4707</v>
      </c>
      <c r="R243" s="95">
        <v>6667654</v>
      </c>
      <c r="T243" s="213" t="s">
        <v>4865</v>
      </c>
      <c r="U243" s="213">
        <v>101933</v>
      </c>
      <c r="V243" s="113">
        <v>294.30973999999998</v>
      </c>
      <c r="W243" s="113">
        <f t="shared" si="50"/>
        <v>29999874.727419998</v>
      </c>
      <c r="X243" s="99" t="s">
        <v>1086</v>
      </c>
      <c r="AH243" s="20">
        <v>30</v>
      </c>
      <c r="AI243" s="20" t="s">
        <v>4624</v>
      </c>
      <c r="AJ243" s="117">
        <v>450000</v>
      </c>
      <c r="AK243" s="20">
        <v>22</v>
      </c>
      <c r="AL243" s="99">
        <f>AK243+AL244</f>
        <v>246</v>
      </c>
      <c r="AM243" s="20">
        <f t="shared" si="52"/>
        <v>110700000</v>
      </c>
      <c r="AN243" s="20"/>
    </row>
    <row r="244" spans="16:43">
      <c r="Q244" s="99" t="s">
        <v>4715</v>
      </c>
      <c r="R244" s="95">
        <v>8981245</v>
      </c>
      <c r="T244" s="213" t="s">
        <v>4872</v>
      </c>
      <c r="U244" s="213">
        <v>3407</v>
      </c>
      <c r="V244" s="113">
        <v>293.43799999999999</v>
      </c>
      <c r="W244" s="113">
        <f t="shared" si="50"/>
        <v>999743.26599999995</v>
      </c>
      <c r="X244" s="99" t="s">
        <v>452</v>
      </c>
      <c r="AH244" s="149">
        <v>31</v>
      </c>
      <c r="AI244" s="149" t="s">
        <v>4698</v>
      </c>
      <c r="AJ244" s="188">
        <v>300000</v>
      </c>
      <c r="AK244" s="149">
        <v>0</v>
      </c>
      <c r="AL244" s="149">
        <f t="shared" ref="AL244:AL259" si="54">AK244+AL245</f>
        <v>224</v>
      </c>
      <c r="AM244" s="149">
        <f t="shared" ref="AM244:AM247" si="55">AJ244*AL244</f>
        <v>67200000</v>
      </c>
      <c r="AN244" s="149"/>
    </row>
    <row r="245" spans="16:43" ht="30">
      <c r="Q245" s="99" t="s">
        <v>4720</v>
      </c>
      <c r="R245" s="95">
        <v>9181756</v>
      </c>
      <c r="T245" s="213" t="s">
        <v>4873</v>
      </c>
      <c r="U245" s="213">
        <v>68796</v>
      </c>
      <c r="V245" s="113">
        <v>293.53250000000003</v>
      </c>
      <c r="W245" s="113">
        <f t="shared" si="50"/>
        <v>20193861.870000001</v>
      </c>
      <c r="X245" s="99" t="s">
        <v>751</v>
      </c>
      <c r="AH245" s="121">
        <v>32</v>
      </c>
      <c r="AI245" s="121" t="s">
        <v>4698</v>
      </c>
      <c r="AJ245" s="79">
        <v>288936</v>
      </c>
      <c r="AK245" s="121">
        <v>3</v>
      </c>
      <c r="AL245" s="121">
        <f t="shared" si="54"/>
        <v>224</v>
      </c>
      <c r="AM245" s="121">
        <f t="shared" si="55"/>
        <v>64721664</v>
      </c>
      <c r="AN245" s="205" t="s">
        <v>4709</v>
      </c>
    </row>
    <row r="246" spans="16:43">
      <c r="Q246" s="99" t="s">
        <v>4724</v>
      </c>
      <c r="R246" s="95">
        <v>11811208</v>
      </c>
      <c r="S246" t="s">
        <v>25</v>
      </c>
      <c r="T246" s="213" t="s">
        <v>4873</v>
      </c>
      <c r="U246" s="213">
        <v>154791</v>
      </c>
      <c r="V246" s="113">
        <v>293.53250000000003</v>
      </c>
      <c r="W246" s="113">
        <f t="shared" si="50"/>
        <v>45436189.207500003</v>
      </c>
      <c r="X246" s="99" t="s">
        <v>452</v>
      </c>
      <c r="AH246" s="121">
        <v>33</v>
      </c>
      <c r="AI246" s="121" t="s">
        <v>4707</v>
      </c>
      <c r="AJ246" s="79">
        <v>17962491</v>
      </c>
      <c r="AK246" s="121">
        <v>1</v>
      </c>
      <c r="AL246" s="121">
        <f t="shared" si="54"/>
        <v>221</v>
      </c>
      <c r="AM246" s="121">
        <f t="shared" si="55"/>
        <v>3969710511</v>
      </c>
      <c r="AN246" s="121" t="s">
        <v>4714</v>
      </c>
    </row>
    <row r="247" spans="16:43">
      <c r="Q247" s="99" t="s">
        <v>4738</v>
      </c>
      <c r="R247" s="95">
        <v>41248054</v>
      </c>
      <c r="S247" t="s">
        <v>25</v>
      </c>
      <c r="T247" s="213" t="s">
        <v>4873</v>
      </c>
      <c r="U247" s="213">
        <v>-11923</v>
      </c>
      <c r="V247" s="113">
        <v>293.53250000000003</v>
      </c>
      <c r="W247" s="113">
        <f t="shared" si="50"/>
        <v>-3499787.9975000005</v>
      </c>
      <c r="X247" s="99" t="s">
        <v>452</v>
      </c>
      <c r="AH247" s="121">
        <v>34</v>
      </c>
      <c r="AI247" s="121" t="s">
        <v>3683</v>
      </c>
      <c r="AJ247" s="79">
        <v>18363511</v>
      </c>
      <c r="AK247" s="121">
        <v>1</v>
      </c>
      <c r="AL247" s="121">
        <f t="shared" si="54"/>
        <v>220</v>
      </c>
      <c r="AM247" s="121">
        <f t="shared" si="55"/>
        <v>4039972420</v>
      </c>
      <c r="AN247" s="121" t="s">
        <v>4714</v>
      </c>
    </row>
    <row r="248" spans="16:43">
      <c r="Q248" s="99" t="s">
        <v>4746</v>
      </c>
      <c r="R248" s="95">
        <v>37328780</v>
      </c>
      <c r="T248" s="213" t="s">
        <v>4887</v>
      </c>
      <c r="U248" s="213">
        <v>8424</v>
      </c>
      <c r="V248" s="113">
        <v>299.15170000000001</v>
      </c>
      <c r="W248" s="113">
        <f t="shared" si="50"/>
        <v>2520053.9208</v>
      </c>
      <c r="X248" s="99" t="s">
        <v>452</v>
      </c>
      <c r="AH248" s="121">
        <v>35</v>
      </c>
      <c r="AI248" s="121" t="s">
        <v>4720</v>
      </c>
      <c r="AJ248" s="79">
        <v>23622417</v>
      </c>
      <c r="AK248" s="121">
        <v>5</v>
      </c>
      <c r="AL248" s="121">
        <f t="shared" si="54"/>
        <v>219</v>
      </c>
      <c r="AM248" s="121">
        <f t="shared" ref="AM248:AM251" si="56">AJ248*AL248</f>
        <v>5173309323</v>
      </c>
      <c r="AN248" s="121" t="s">
        <v>4723</v>
      </c>
    </row>
    <row r="249" spans="16:43">
      <c r="Q249" s="99" t="s">
        <v>4836</v>
      </c>
      <c r="R249" s="95">
        <v>-2194100</v>
      </c>
      <c r="T249" s="213" t="s">
        <v>4922</v>
      </c>
      <c r="U249" s="213">
        <v>15943</v>
      </c>
      <c r="V249" s="113">
        <v>307.34415000000001</v>
      </c>
      <c r="W249" s="113">
        <f t="shared" si="50"/>
        <v>4899987.78345</v>
      </c>
      <c r="X249" s="99" t="s">
        <v>452</v>
      </c>
      <c r="AH249" s="121">
        <v>36</v>
      </c>
      <c r="AI249" s="121" t="s">
        <v>4736</v>
      </c>
      <c r="AJ249" s="79">
        <v>82496108</v>
      </c>
      <c r="AK249" s="121">
        <v>1</v>
      </c>
      <c r="AL249" s="121">
        <f t="shared" si="54"/>
        <v>214</v>
      </c>
      <c r="AM249" s="121">
        <f t="shared" si="56"/>
        <v>17654167112</v>
      </c>
      <c r="AN249" s="121" t="s">
        <v>4739</v>
      </c>
      <c r="AP249" t="s">
        <v>25</v>
      </c>
    </row>
    <row r="250" spans="16:43">
      <c r="P250" t="s">
        <v>25</v>
      </c>
      <c r="Q250" s="99" t="s">
        <v>4873</v>
      </c>
      <c r="R250" s="95">
        <v>20193916</v>
      </c>
      <c r="T250" s="213" t="s">
        <v>4943</v>
      </c>
      <c r="U250" s="213">
        <v>3741</v>
      </c>
      <c r="V250" s="113">
        <v>307.34415000000001</v>
      </c>
      <c r="W250" s="113">
        <f t="shared" si="50"/>
        <v>1149774.4651500001</v>
      </c>
      <c r="X250" s="99" t="s">
        <v>452</v>
      </c>
      <c r="Y250" t="s">
        <v>25</v>
      </c>
      <c r="AH250" s="121">
        <v>37</v>
      </c>
      <c r="AI250" s="121" t="s">
        <v>4738</v>
      </c>
      <c r="AJ250" s="79">
        <v>74657561</v>
      </c>
      <c r="AK250" s="121">
        <v>16</v>
      </c>
      <c r="AL250" s="121">
        <f t="shared" si="54"/>
        <v>213</v>
      </c>
      <c r="AM250" s="121">
        <f t="shared" si="56"/>
        <v>15902060493</v>
      </c>
      <c r="AN250" s="121" t="s">
        <v>4745</v>
      </c>
    </row>
    <row r="251" spans="16:43">
      <c r="Q251" s="99" t="s">
        <v>4949</v>
      </c>
      <c r="R251" s="95">
        <v>-2000000</v>
      </c>
      <c r="T251" s="213" t="s">
        <v>4949</v>
      </c>
      <c r="U251" s="213">
        <v>-6207</v>
      </c>
      <c r="V251" s="113">
        <v>322.214</v>
      </c>
      <c r="W251" s="113">
        <f t="shared" si="50"/>
        <v>-1999982.298</v>
      </c>
      <c r="X251" s="99" t="s">
        <v>751</v>
      </c>
      <c r="Y251" t="s">
        <v>25</v>
      </c>
      <c r="AH251" s="99">
        <v>38</v>
      </c>
      <c r="AI251" s="99" t="s">
        <v>4817</v>
      </c>
      <c r="AJ251" s="117">
        <v>665000</v>
      </c>
      <c r="AK251" s="99">
        <v>0</v>
      </c>
      <c r="AL251" s="99">
        <f t="shared" si="54"/>
        <v>197</v>
      </c>
      <c r="AM251" s="20">
        <f t="shared" si="56"/>
        <v>131005000</v>
      </c>
      <c r="AN251" s="99"/>
    </row>
    <row r="252" spans="16:43">
      <c r="Q252" s="99" t="s">
        <v>5031</v>
      </c>
      <c r="R252" s="95">
        <v>6800000</v>
      </c>
      <c r="S252" t="s">
        <v>25</v>
      </c>
      <c r="T252" s="213" t="s">
        <v>4949</v>
      </c>
      <c r="U252" s="213">
        <v>6207</v>
      </c>
      <c r="V252" s="113">
        <v>322.214</v>
      </c>
      <c r="W252" s="113">
        <f t="shared" si="50"/>
        <v>1999982.298</v>
      </c>
      <c r="X252" s="99" t="s">
        <v>4444</v>
      </c>
      <c r="AH252" s="149">
        <v>39</v>
      </c>
      <c r="AI252" s="149" t="s">
        <v>4817</v>
      </c>
      <c r="AJ252" s="188">
        <v>665000</v>
      </c>
      <c r="AK252" s="149">
        <v>4</v>
      </c>
      <c r="AL252" s="195">
        <f t="shared" si="54"/>
        <v>197</v>
      </c>
      <c r="AM252" s="195">
        <f t="shared" ref="AM252:AM253" si="57">AJ252*AL252</f>
        <v>131005000</v>
      </c>
      <c r="AN252" s="195"/>
    </row>
    <row r="253" spans="16:43">
      <c r="Q253" s="99" t="s">
        <v>5047</v>
      </c>
      <c r="R253" s="95">
        <v>850000</v>
      </c>
      <c r="T253" s="213" t="s">
        <v>4894</v>
      </c>
      <c r="U253" s="213">
        <v>776</v>
      </c>
      <c r="V253" s="113">
        <v>322.214</v>
      </c>
      <c r="W253" s="113">
        <f t="shared" si="50"/>
        <v>250038.06400000001</v>
      </c>
      <c r="X253" s="99" t="s">
        <v>452</v>
      </c>
      <c r="AH253" s="20">
        <v>40</v>
      </c>
      <c r="AI253" s="20" t="s">
        <v>4831</v>
      </c>
      <c r="AJ253" s="117">
        <v>2000000</v>
      </c>
      <c r="AK253" s="20">
        <v>1</v>
      </c>
      <c r="AL253" s="99">
        <f t="shared" si="54"/>
        <v>193</v>
      </c>
      <c r="AM253" s="20">
        <f t="shared" si="57"/>
        <v>386000000</v>
      </c>
      <c r="AN253" s="99"/>
      <c r="AQ253" t="s">
        <v>25</v>
      </c>
    </row>
    <row r="254" spans="16:43">
      <c r="Q254" s="99" t="s">
        <v>5057</v>
      </c>
      <c r="R254" s="95">
        <v>2290500</v>
      </c>
      <c r="T254" s="213" t="s">
        <v>4975</v>
      </c>
      <c r="U254" s="213">
        <v>1524</v>
      </c>
      <c r="V254" s="113">
        <v>314.95999999999998</v>
      </c>
      <c r="W254" s="113">
        <f t="shared" si="50"/>
        <v>479999.04</v>
      </c>
      <c r="X254" s="99" t="s">
        <v>1086</v>
      </c>
      <c r="AH254" s="20">
        <v>41</v>
      </c>
      <c r="AI254" s="20" t="s">
        <v>4836</v>
      </c>
      <c r="AJ254" s="117">
        <v>-2060725</v>
      </c>
      <c r="AK254" s="20">
        <v>0</v>
      </c>
      <c r="AL254" s="99">
        <f t="shared" si="54"/>
        <v>192</v>
      </c>
      <c r="AM254" s="20">
        <f t="shared" ref="AM254:AM259" si="58">AJ254*AL254</f>
        <v>-395659200</v>
      </c>
      <c r="AN254" s="99" t="s">
        <v>4837</v>
      </c>
    </row>
    <row r="255" spans="16:43">
      <c r="Q255" s="99" t="s">
        <v>5073</v>
      </c>
      <c r="R255" s="95">
        <v>400000</v>
      </c>
      <c r="S255" t="s">
        <v>25</v>
      </c>
      <c r="T255" s="213" t="s">
        <v>4984</v>
      </c>
      <c r="U255" s="213">
        <v>4435</v>
      </c>
      <c r="V255" s="113">
        <v>316.4375</v>
      </c>
      <c r="W255" s="113">
        <f t="shared" si="50"/>
        <v>1403400.3125</v>
      </c>
      <c r="X255" s="99" t="s">
        <v>452</v>
      </c>
      <c r="AH255" s="149">
        <v>42</v>
      </c>
      <c r="AI255" s="149" t="s">
        <v>4836</v>
      </c>
      <c r="AJ255" s="188">
        <v>-433375</v>
      </c>
      <c r="AK255" s="149">
        <v>0</v>
      </c>
      <c r="AL255" s="149">
        <f t="shared" si="54"/>
        <v>192</v>
      </c>
      <c r="AM255" s="149">
        <f t="shared" si="58"/>
        <v>-83208000</v>
      </c>
      <c r="AN255" s="149" t="s">
        <v>4838</v>
      </c>
    </row>
    <row r="256" spans="16:43">
      <c r="Q256" s="99" t="s">
        <v>5080</v>
      </c>
      <c r="R256" s="95">
        <v>150000</v>
      </c>
      <c r="T256" s="213" t="s">
        <v>4989</v>
      </c>
      <c r="U256" s="213">
        <v>624</v>
      </c>
      <c r="V256" s="113">
        <v>320.5</v>
      </c>
      <c r="W256" s="113">
        <f t="shared" si="50"/>
        <v>199992</v>
      </c>
      <c r="X256" s="99" t="s">
        <v>452</v>
      </c>
      <c r="AH256" s="20">
        <v>43</v>
      </c>
      <c r="AI256" s="20" t="s">
        <v>4836</v>
      </c>
      <c r="AJ256" s="117">
        <v>28000000</v>
      </c>
      <c r="AK256" s="20">
        <v>1</v>
      </c>
      <c r="AL256" s="99">
        <f t="shared" si="54"/>
        <v>192</v>
      </c>
      <c r="AM256" s="20">
        <f t="shared" si="58"/>
        <v>5376000000</v>
      </c>
      <c r="AN256" s="99" t="s">
        <v>3890</v>
      </c>
    </row>
    <row r="257" spans="17:45">
      <c r="Q257" s="99" t="s">
        <v>5116</v>
      </c>
      <c r="R257" s="95">
        <v>-144950</v>
      </c>
      <c r="T257" s="213" t="s">
        <v>4996</v>
      </c>
      <c r="U257" s="213">
        <v>1086</v>
      </c>
      <c r="V257" s="113">
        <v>317.55</v>
      </c>
      <c r="W257" s="113">
        <f t="shared" si="50"/>
        <v>344859.3</v>
      </c>
      <c r="X257" s="99" t="s">
        <v>452</v>
      </c>
      <c r="AH257" s="20">
        <v>44</v>
      </c>
      <c r="AI257" s="20" t="s">
        <v>4845</v>
      </c>
      <c r="AJ257" s="117">
        <v>160000</v>
      </c>
      <c r="AK257" s="20">
        <v>0</v>
      </c>
      <c r="AL257" s="99">
        <f t="shared" si="54"/>
        <v>191</v>
      </c>
      <c r="AM257" s="20">
        <f t="shared" si="58"/>
        <v>30560000</v>
      </c>
      <c r="AN257" s="99"/>
    </row>
    <row r="258" spans="17:45">
      <c r="Q258" s="99" t="s">
        <v>5154</v>
      </c>
      <c r="R258" s="95">
        <v>320000</v>
      </c>
      <c r="T258" s="213" t="s">
        <v>5002</v>
      </c>
      <c r="U258" s="213">
        <v>2820</v>
      </c>
      <c r="V258" s="113">
        <v>319.1096</v>
      </c>
      <c r="W258" s="113">
        <f t="shared" si="50"/>
        <v>899889.07200000004</v>
      </c>
      <c r="X258" s="99" t="s">
        <v>452</v>
      </c>
      <c r="Z258" t="s">
        <v>25</v>
      </c>
      <c r="AH258" s="149">
        <v>45</v>
      </c>
      <c r="AI258" s="149" t="s">
        <v>4845</v>
      </c>
      <c r="AJ258" s="188">
        <v>70000</v>
      </c>
      <c r="AK258" s="149">
        <v>9</v>
      </c>
      <c r="AL258" s="149">
        <f t="shared" si="54"/>
        <v>191</v>
      </c>
      <c r="AM258" s="149">
        <f t="shared" si="58"/>
        <v>13370000</v>
      </c>
      <c r="AN258" s="149"/>
    </row>
    <row r="259" spans="17:45">
      <c r="Q259" s="99" t="s">
        <v>5159</v>
      </c>
      <c r="R259" s="95">
        <v>500000</v>
      </c>
      <c r="S259" t="s">
        <v>25</v>
      </c>
      <c r="T259" s="213" t="s">
        <v>5006</v>
      </c>
      <c r="U259" s="213">
        <v>1145</v>
      </c>
      <c r="V259" s="113">
        <v>325.44</v>
      </c>
      <c r="W259" s="113">
        <f t="shared" si="50"/>
        <v>372628.8</v>
      </c>
      <c r="X259" s="99" t="s">
        <v>452</v>
      </c>
      <c r="AH259" s="20">
        <v>46</v>
      </c>
      <c r="AI259" s="20" t="s">
        <v>4852</v>
      </c>
      <c r="AJ259" s="117">
        <v>850000</v>
      </c>
      <c r="AK259" s="20">
        <v>0</v>
      </c>
      <c r="AL259" s="99">
        <f t="shared" si="54"/>
        <v>182</v>
      </c>
      <c r="AM259" s="20">
        <f t="shared" si="58"/>
        <v>154700000</v>
      </c>
      <c r="AN259" s="99"/>
    </row>
    <row r="260" spans="17:45">
      <c r="Q260" s="99" t="s">
        <v>5215</v>
      </c>
      <c r="R260" s="95">
        <v>400000</v>
      </c>
      <c r="S260" t="s">
        <v>25</v>
      </c>
      <c r="T260" s="213" t="s">
        <v>5017</v>
      </c>
      <c r="U260" s="213">
        <v>20153</v>
      </c>
      <c r="V260" s="113">
        <v>322</v>
      </c>
      <c r="W260" s="113">
        <f t="shared" si="50"/>
        <v>6489266</v>
      </c>
      <c r="X260" s="99" t="s">
        <v>452</v>
      </c>
      <c r="AH260" s="195">
        <v>47</v>
      </c>
      <c r="AI260" s="195" t="s">
        <v>4852</v>
      </c>
      <c r="AJ260" s="196">
        <v>20000</v>
      </c>
      <c r="AK260" s="195">
        <v>4</v>
      </c>
      <c r="AL260" s="195">
        <f t="shared" ref="AL260:AL268" si="59">AK260+AL261</f>
        <v>182</v>
      </c>
      <c r="AM260" s="195">
        <f t="shared" ref="AM260:AM268" si="60">AJ260*AL260</f>
        <v>3640000</v>
      </c>
      <c r="AN260" s="195"/>
    </row>
    <row r="261" spans="17:45">
      <c r="Q261" s="99" t="s">
        <v>5220</v>
      </c>
      <c r="R261" s="95">
        <v>50000</v>
      </c>
      <c r="S261" t="s">
        <v>25</v>
      </c>
      <c r="T261" s="213" t="s">
        <v>5031</v>
      </c>
      <c r="U261" s="213">
        <v>93720</v>
      </c>
      <c r="V261" s="113">
        <v>325.435</v>
      </c>
      <c r="W261" s="113">
        <f t="shared" si="50"/>
        <v>30499768.199999999</v>
      </c>
      <c r="X261" s="99" t="s">
        <v>1086</v>
      </c>
      <c r="AH261" s="195">
        <v>48</v>
      </c>
      <c r="AI261" s="195" t="s">
        <v>4865</v>
      </c>
      <c r="AJ261" s="196">
        <v>30000000</v>
      </c>
      <c r="AK261" s="195">
        <v>27</v>
      </c>
      <c r="AL261" s="195">
        <f t="shared" si="59"/>
        <v>178</v>
      </c>
      <c r="AM261" s="195">
        <f t="shared" si="60"/>
        <v>5340000000</v>
      </c>
      <c r="AN261" s="195" t="s">
        <v>4866</v>
      </c>
    </row>
    <row r="262" spans="17:45">
      <c r="Q262" s="99" t="s">
        <v>5231</v>
      </c>
      <c r="R262" s="95">
        <v>300000</v>
      </c>
      <c r="T262" s="213" t="s">
        <v>5031</v>
      </c>
      <c r="U262" s="213">
        <v>20895</v>
      </c>
      <c r="V262" s="113">
        <v>325.435</v>
      </c>
      <c r="W262" s="113">
        <f t="shared" si="50"/>
        <v>6799964.3250000002</v>
      </c>
      <c r="X262" s="99" t="s">
        <v>751</v>
      </c>
      <c r="AH262" s="20">
        <v>49</v>
      </c>
      <c r="AI262" s="20" t="s">
        <v>4943</v>
      </c>
      <c r="AJ262" s="117">
        <v>1100000</v>
      </c>
      <c r="AK262" s="20">
        <v>1</v>
      </c>
      <c r="AL262" s="20">
        <f t="shared" si="59"/>
        <v>151</v>
      </c>
      <c r="AM262" s="20">
        <f t="shared" si="60"/>
        <v>166100000</v>
      </c>
      <c r="AN262" s="20"/>
    </row>
    <row r="263" spans="17:45">
      <c r="Q263" s="99" t="s">
        <v>5281</v>
      </c>
      <c r="R263" s="95">
        <v>250000</v>
      </c>
      <c r="T263" s="213" t="s">
        <v>5047</v>
      </c>
      <c r="U263" s="213">
        <v>2611</v>
      </c>
      <c r="V263" s="113">
        <v>325.435</v>
      </c>
      <c r="W263" s="113">
        <f t="shared" si="50"/>
        <v>849710.78500000003</v>
      </c>
      <c r="X263" s="99" t="s">
        <v>751</v>
      </c>
      <c r="AH263" s="20">
        <v>50</v>
      </c>
      <c r="AI263" s="20" t="s">
        <v>4945</v>
      </c>
      <c r="AJ263" s="117">
        <v>450000</v>
      </c>
      <c r="AK263" s="20">
        <v>0</v>
      </c>
      <c r="AL263" s="20">
        <f t="shared" si="59"/>
        <v>150</v>
      </c>
      <c r="AM263" s="20">
        <f t="shared" si="60"/>
        <v>67500000</v>
      </c>
      <c r="AN263" s="20"/>
    </row>
    <row r="264" spans="17:45">
      <c r="Q264" s="99"/>
      <c r="R264" s="95"/>
      <c r="T264" s="213" t="s">
        <v>5057</v>
      </c>
      <c r="U264" s="213">
        <v>6750</v>
      </c>
      <c r="V264" s="113">
        <v>339.3</v>
      </c>
      <c r="W264" s="113">
        <f t="shared" si="50"/>
        <v>2290275</v>
      </c>
      <c r="X264" s="99" t="s">
        <v>751</v>
      </c>
      <c r="AH264" s="149">
        <v>51</v>
      </c>
      <c r="AI264" s="149" t="s">
        <v>4945</v>
      </c>
      <c r="AJ264" s="188">
        <v>550000</v>
      </c>
      <c r="AK264" s="149">
        <v>1</v>
      </c>
      <c r="AL264" s="149">
        <f t="shared" si="59"/>
        <v>150</v>
      </c>
      <c r="AM264" s="149">
        <f t="shared" si="60"/>
        <v>82500000</v>
      </c>
      <c r="AN264" s="149"/>
    </row>
    <row r="265" spans="17:45">
      <c r="Q265" s="99"/>
      <c r="R265" s="95"/>
      <c r="T265" s="213" t="s">
        <v>5073</v>
      </c>
      <c r="U265" s="213">
        <v>1850</v>
      </c>
      <c r="V265" s="113">
        <v>334.10050000000001</v>
      </c>
      <c r="W265" s="113">
        <f t="shared" si="50"/>
        <v>618085.92500000005</v>
      </c>
      <c r="X265" s="99" t="s">
        <v>452</v>
      </c>
      <c r="AH265" s="149">
        <v>52</v>
      </c>
      <c r="AI265" s="149" t="s">
        <v>4947</v>
      </c>
      <c r="AJ265" s="188">
        <v>1000000</v>
      </c>
      <c r="AK265" s="149">
        <v>8</v>
      </c>
      <c r="AL265" s="149">
        <f t="shared" si="59"/>
        <v>149</v>
      </c>
      <c r="AM265" s="149">
        <f t="shared" si="60"/>
        <v>149000000</v>
      </c>
      <c r="AN265" s="149"/>
    </row>
    <row r="266" spans="17:45">
      <c r="Q266" s="99"/>
      <c r="R266" s="95"/>
      <c r="S266" t="s">
        <v>25</v>
      </c>
      <c r="T266" s="213" t="s">
        <v>5073</v>
      </c>
      <c r="U266" s="213">
        <v>-1194</v>
      </c>
      <c r="V266" s="113">
        <v>335</v>
      </c>
      <c r="W266" s="113">
        <f t="shared" si="50"/>
        <v>-399990</v>
      </c>
      <c r="X266" s="99" t="s">
        <v>4444</v>
      </c>
      <c r="AH266" s="20">
        <v>53</v>
      </c>
      <c r="AI266" s="20" t="s">
        <v>4957</v>
      </c>
      <c r="AJ266" s="117">
        <v>-2668880</v>
      </c>
      <c r="AK266" s="20">
        <v>0</v>
      </c>
      <c r="AL266" s="20">
        <f t="shared" si="59"/>
        <v>141</v>
      </c>
      <c r="AM266" s="20">
        <f t="shared" si="60"/>
        <v>-376312080</v>
      </c>
      <c r="AN266" s="20" t="s">
        <v>4959</v>
      </c>
    </row>
    <row r="267" spans="17:45">
      <c r="Q267" s="99"/>
      <c r="R267" s="95">
        <f>SUM(R229:R266)</f>
        <v>436401825</v>
      </c>
      <c r="T267" s="213" t="s">
        <v>5073</v>
      </c>
      <c r="U267" s="213">
        <v>1194</v>
      </c>
      <c r="V267" s="113">
        <v>335</v>
      </c>
      <c r="W267" s="113">
        <f t="shared" si="50"/>
        <v>399990</v>
      </c>
      <c r="X267" s="99" t="s">
        <v>751</v>
      </c>
      <c r="Y267" t="s">
        <v>25</v>
      </c>
      <c r="AH267" s="149">
        <v>54</v>
      </c>
      <c r="AI267" s="149" t="s">
        <v>4957</v>
      </c>
      <c r="AJ267" s="188">
        <v>-1528620</v>
      </c>
      <c r="AK267" s="149">
        <v>0</v>
      </c>
      <c r="AL267" s="149">
        <f t="shared" si="59"/>
        <v>141</v>
      </c>
      <c r="AM267" s="149">
        <f t="shared" si="60"/>
        <v>-215535420</v>
      </c>
      <c r="AN267" s="149" t="s">
        <v>4959</v>
      </c>
      <c r="AS267" t="s">
        <v>25</v>
      </c>
    </row>
    <row r="268" spans="17:45">
      <c r="Q268" s="99"/>
      <c r="R268" s="99" t="s">
        <v>6</v>
      </c>
      <c r="S268" t="s">
        <v>25</v>
      </c>
      <c r="T268" s="213" t="s">
        <v>5080</v>
      </c>
      <c r="U268" s="213">
        <v>433</v>
      </c>
      <c r="V268" s="113">
        <v>345.68</v>
      </c>
      <c r="W268" s="113">
        <f t="shared" si="50"/>
        <v>149679.44</v>
      </c>
      <c r="X268" s="99" t="s">
        <v>751</v>
      </c>
      <c r="AA268" t="s">
        <v>25</v>
      </c>
      <c r="AH268" s="20">
        <v>55</v>
      </c>
      <c r="AI268" s="20" t="s">
        <v>4957</v>
      </c>
      <c r="AJ268" s="117">
        <v>50000000</v>
      </c>
      <c r="AK268" s="20">
        <v>4</v>
      </c>
      <c r="AL268" s="20">
        <f t="shared" si="59"/>
        <v>141</v>
      </c>
      <c r="AM268" s="20">
        <f t="shared" si="60"/>
        <v>7050000000</v>
      </c>
      <c r="AN268" s="20"/>
    </row>
    <row r="269" spans="17:45">
      <c r="T269" s="213" t="s">
        <v>5087</v>
      </c>
      <c r="U269" s="213">
        <v>55459</v>
      </c>
      <c r="V269" s="113">
        <v>362.51978000000003</v>
      </c>
      <c r="W269" s="113">
        <f t="shared" si="50"/>
        <v>20104984.479020003</v>
      </c>
      <c r="X269" s="99" t="s">
        <v>452</v>
      </c>
      <c r="AH269" s="20">
        <v>56</v>
      </c>
      <c r="AI269" s="20" t="s">
        <v>4963</v>
      </c>
      <c r="AJ269" s="117">
        <v>400000</v>
      </c>
      <c r="AK269" s="20">
        <v>4</v>
      </c>
      <c r="AL269" s="20">
        <f t="shared" ref="AL269:AL278" si="61">AK269+AL270</f>
        <v>137</v>
      </c>
      <c r="AM269" s="20">
        <f t="shared" ref="AM269:AM278" si="62">AJ269*AL269</f>
        <v>54800000</v>
      </c>
      <c r="AN269" s="20"/>
    </row>
    <row r="270" spans="17:45">
      <c r="T270" s="213" t="s">
        <v>5092</v>
      </c>
      <c r="U270" s="213">
        <v>-57212</v>
      </c>
      <c r="V270" s="113">
        <v>368.45400000000001</v>
      </c>
      <c r="W270" s="113">
        <f t="shared" si="50"/>
        <v>-21079990.248</v>
      </c>
      <c r="X270" s="99" t="s">
        <v>452</v>
      </c>
      <c r="AH270" s="20">
        <v>57</v>
      </c>
      <c r="AI270" s="20" t="s">
        <v>4975</v>
      </c>
      <c r="AJ270" s="117">
        <v>2000000</v>
      </c>
      <c r="AK270" s="20">
        <v>3</v>
      </c>
      <c r="AL270" s="20">
        <f t="shared" si="61"/>
        <v>133</v>
      </c>
      <c r="AM270" s="20">
        <f t="shared" si="62"/>
        <v>266000000</v>
      </c>
      <c r="AN270" s="20"/>
    </row>
    <row r="271" spans="17:45">
      <c r="Q271" s="99" t="s">
        <v>452</v>
      </c>
      <c r="R271" s="99"/>
      <c r="T271" s="213" t="s">
        <v>5093</v>
      </c>
      <c r="U271" s="213">
        <v>-15881</v>
      </c>
      <c r="V271" s="113">
        <v>374.61599999999999</v>
      </c>
      <c r="W271" s="113">
        <f t="shared" si="50"/>
        <v>-5949276.6959999995</v>
      </c>
      <c r="X271" s="99" t="s">
        <v>452</v>
      </c>
      <c r="AH271" s="20">
        <v>58</v>
      </c>
      <c r="AI271" s="20" t="s">
        <v>4978</v>
      </c>
      <c r="AJ271" s="117">
        <v>100000</v>
      </c>
      <c r="AK271" s="20">
        <v>4</v>
      </c>
      <c r="AL271" s="20">
        <f t="shared" si="61"/>
        <v>130</v>
      </c>
      <c r="AM271" s="20">
        <f t="shared" si="62"/>
        <v>13000000</v>
      </c>
      <c r="AN271" s="20" t="s">
        <v>3890</v>
      </c>
      <c r="AR271" t="s">
        <v>25</v>
      </c>
    </row>
    <row r="272" spans="17:45">
      <c r="Q272" s="99" t="s">
        <v>4437</v>
      </c>
      <c r="R272" s="95">
        <v>63115000</v>
      </c>
      <c r="T272" s="213" t="s">
        <v>5100</v>
      </c>
      <c r="U272" s="213">
        <v>-41289</v>
      </c>
      <c r="V272" s="113">
        <v>372.27</v>
      </c>
      <c r="W272" s="113">
        <f t="shared" si="50"/>
        <v>-15370656.029999999</v>
      </c>
      <c r="X272" s="99" t="s">
        <v>452</v>
      </c>
      <c r="AH272" s="20">
        <v>59</v>
      </c>
      <c r="AI272" s="20" t="s">
        <v>4989</v>
      </c>
      <c r="AJ272" s="117">
        <v>100000</v>
      </c>
      <c r="AK272" s="20">
        <v>7</v>
      </c>
      <c r="AL272" s="20">
        <f t="shared" si="61"/>
        <v>126</v>
      </c>
      <c r="AM272" s="20">
        <f t="shared" si="62"/>
        <v>12600000</v>
      </c>
      <c r="AN272" s="20"/>
    </row>
    <row r="273" spans="17:40">
      <c r="Q273" s="99" t="s">
        <v>4491</v>
      </c>
      <c r="R273" s="95">
        <v>13300000</v>
      </c>
      <c r="S273" t="s">
        <v>25</v>
      </c>
      <c r="T273" s="213" t="s">
        <v>5107</v>
      </c>
      <c r="U273" s="213">
        <v>13563</v>
      </c>
      <c r="V273" s="113">
        <v>365.69799999999998</v>
      </c>
      <c r="W273" s="113">
        <f t="shared" si="50"/>
        <v>4959961.9739999995</v>
      </c>
      <c r="X273" s="99" t="s">
        <v>452</v>
      </c>
      <c r="Y273" t="s">
        <v>25</v>
      </c>
      <c r="AH273" s="20">
        <v>60</v>
      </c>
      <c r="AI273" s="20" t="s">
        <v>5006</v>
      </c>
      <c r="AJ273" s="117">
        <v>50000</v>
      </c>
      <c r="AK273" s="20">
        <v>0</v>
      </c>
      <c r="AL273" s="20">
        <f t="shared" si="61"/>
        <v>119</v>
      </c>
      <c r="AM273" s="20">
        <f t="shared" si="62"/>
        <v>5950000</v>
      </c>
      <c r="AN273" s="20"/>
    </row>
    <row r="274" spans="17:40">
      <c r="Q274" s="99" t="s">
        <v>4499</v>
      </c>
      <c r="R274" s="95">
        <v>2269000</v>
      </c>
      <c r="T274" s="213" t="s">
        <v>5107</v>
      </c>
      <c r="U274" s="213">
        <v>27344</v>
      </c>
      <c r="V274" s="113">
        <v>365.69799999999998</v>
      </c>
      <c r="W274" s="113">
        <f t="shared" si="50"/>
        <v>9999646.1119999997</v>
      </c>
      <c r="X274" s="99" t="s">
        <v>452</v>
      </c>
      <c r="Y274" t="s">
        <v>25</v>
      </c>
      <c r="AH274" s="149">
        <v>61</v>
      </c>
      <c r="AI274" s="149" t="s">
        <v>5006</v>
      </c>
      <c r="AJ274" s="188">
        <v>50000</v>
      </c>
      <c r="AK274" s="149">
        <v>3</v>
      </c>
      <c r="AL274" s="149">
        <f t="shared" si="61"/>
        <v>119</v>
      </c>
      <c r="AM274" s="149">
        <f t="shared" si="62"/>
        <v>5950000</v>
      </c>
      <c r="AN274" s="149"/>
    </row>
    <row r="275" spans="17:40" ht="30">
      <c r="Q275" s="99" t="s">
        <v>4614</v>
      </c>
      <c r="R275" s="95">
        <v>25071612</v>
      </c>
      <c r="T275" s="213" t="s">
        <v>5116</v>
      </c>
      <c r="U275" s="213">
        <v>-103145</v>
      </c>
      <c r="V275" s="113">
        <v>393.334</v>
      </c>
      <c r="W275" s="113">
        <f t="shared" si="50"/>
        <v>-40570435.43</v>
      </c>
      <c r="X275" s="36" t="s">
        <v>5128</v>
      </c>
      <c r="AH275" s="20">
        <v>62</v>
      </c>
      <c r="AI275" s="20" t="s">
        <v>5011</v>
      </c>
      <c r="AJ275" s="117">
        <v>50000</v>
      </c>
      <c r="AK275" s="20">
        <v>0</v>
      </c>
      <c r="AL275" s="20">
        <f t="shared" si="61"/>
        <v>116</v>
      </c>
      <c r="AM275" s="20">
        <f t="shared" si="62"/>
        <v>5800000</v>
      </c>
      <c r="AN275" s="20"/>
    </row>
    <row r="276" spans="17:40">
      <c r="Q276" s="99" t="s">
        <v>4623</v>
      </c>
      <c r="R276" s="95">
        <v>42236984</v>
      </c>
      <c r="T276" s="213" t="s">
        <v>5116</v>
      </c>
      <c r="U276" s="213">
        <v>-369</v>
      </c>
      <c r="V276" s="113">
        <v>393.334</v>
      </c>
      <c r="W276" s="113">
        <f t="shared" si="50"/>
        <v>-145140.24600000001</v>
      </c>
      <c r="X276" s="36" t="s">
        <v>5222</v>
      </c>
      <c r="AH276" s="195">
        <v>63</v>
      </c>
      <c r="AI276" s="195" t="s">
        <v>5011</v>
      </c>
      <c r="AJ276" s="196">
        <v>50000</v>
      </c>
      <c r="AK276" s="195">
        <v>2</v>
      </c>
      <c r="AL276" s="195">
        <f t="shared" si="61"/>
        <v>116</v>
      </c>
      <c r="AM276" s="195">
        <f t="shared" si="62"/>
        <v>5800000</v>
      </c>
      <c r="AN276" s="195"/>
    </row>
    <row r="277" spans="17:40">
      <c r="Q277" s="99" t="s">
        <v>4624</v>
      </c>
      <c r="R277" s="95">
        <v>19663646</v>
      </c>
      <c r="T277" s="213" t="s">
        <v>5116</v>
      </c>
      <c r="U277" s="213">
        <v>-889</v>
      </c>
      <c r="V277" s="113">
        <v>393.334</v>
      </c>
      <c r="W277" s="113">
        <f t="shared" si="50"/>
        <v>-349673.92599999998</v>
      </c>
      <c r="X277" s="36" t="s">
        <v>5223</v>
      </c>
      <c r="AH277" s="20">
        <v>64</v>
      </c>
      <c r="AI277" s="20" t="s">
        <v>5020</v>
      </c>
      <c r="AJ277" s="117">
        <v>25000</v>
      </c>
      <c r="AK277" s="20">
        <v>0</v>
      </c>
      <c r="AL277" s="20">
        <f t="shared" si="61"/>
        <v>114</v>
      </c>
      <c r="AM277" s="20">
        <f t="shared" si="62"/>
        <v>2850000</v>
      </c>
      <c r="AN277" s="20"/>
    </row>
    <row r="278" spans="17:40">
      <c r="Q278" s="99" t="s">
        <v>4648</v>
      </c>
      <c r="R278" s="95">
        <v>4374525</v>
      </c>
      <c r="T278" s="213" t="s">
        <v>5132</v>
      </c>
      <c r="U278" s="213">
        <v>2546</v>
      </c>
      <c r="V278" s="113">
        <v>393</v>
      </c>
      <c r="W278" s="113">
        <f t="shared" si="50"/>
        <v>1000578</v>
      </c>
      <c r="X278" s="36" t="s">
        <v>452</v>
      </c>
      <c r="AH278" s="149">
        <v>65</v>
      </c>
      <c r="AI278" s="149" t="s">
        <v>5020</v>
      </c>
      <c r="AJ278" s="188">
        <v>35000</v>
      </c>
      <c r="AK278" s="149">
        <v>7</v>
      </c>
      <c r="AL278" s="149">
        <f t="shared" si="61"/>
        <v>114</v>
      </c>
      <c r="AM278" s="149">
        <f t="shared" si="62"/>
        <v>3990000</v>
      </c>
      <c r="AN278" s="149"/>
    </row>
    <row r="279" spans="17:40">
      <c r="Q279" s="99" t="s">
        <v>4660</v>
      </c>
      <c r="R279" s="95">
        <v>6550580</v>
      </c>
      <c r="T279" s="213" t="s">
        <v>5133</v>
      </c>
      <c r="U279" s="213">
        <v>1034</v>
      </c>
      <c r="V279" s="113">
        <v>386.608</v>
      </c>
      <c r="W279" s="113">
        <f t="shared" si="50"/>
        <v>399752.67200000002</v>
      </c>
      <c r="X279" s="36" t="s">
        <v>452</v>
      </c>
      <c r="AH279" s="149">
        <v>66</v>
      </c>
      <c r="AI279" s="149" t="s">
        <v>5031</v>
      </c>
      <c r="AJ279" s="188">
        <v>30000000</v>
      </c>
      <c r="AK279" s="149">
        <v>0</v>
      </c>
      <c r="AL279" s="149">
        <f t="shared" ref="AL279:AL298" si="63">AK279+AL280</f>
        <v>107</v>
      </c>
      <c r="AM279" s="149">
        <f t="shared" ref="AM279:AM298" si="64">AJ279*AL279</f>
        <v>3210000000</v>
      </c>
      <c r="AN279" s="149"/>
    </row>
    <row r="280" spans="17:40">
      <c r="Q280" s="99" t="s">
        <v>4662</v>
      </c>
      <c r="R280" s="95">
        <v>7054895</v>
      </c>
      <c r="T280" s="213" t="s">
        <v>5142</v>
      </c>
      <c r="U280" s="213">
        <v>300</v>
      </c>
      <c r="V280" s="113">
        <v>400</v>
      </c>
      <c r="W280" s="113">
        <f t="shared" si="50"/>
        <v>120000</v>
      </c>
      <c r="X280" s="36" t="s">
        <v>452</v>
      </c>
      <c r="AH280" s="20">
        <v>67</v>
      </c>
      <c r="AI280" s="20" t="s">
        <v>5031</v>
      </c>
      <c r="AJ280" s="117">
        <v>6800000</v>
      </c>
      <c r="AK280" s="20">
        <v>1</v>
      </c>
      <c r="AL280" s="20">
        <f t="shared" si="63"/>
        <v>107</v>
      </c>
      <c r="AM280" s="20">
        <f t="shared" si="64"/>
        <v>727600000</v>
      </c>
      <c r="AN280" s="20"/>
    </row>
    <row r="281" spans="17:40">
      <c r="Q281" s="99" t="s">
        <v>4685</v>
      </c>
      <c r="R281" s="95">
        <v>2145814</v>
      </c>
      <c r="T281" s="213" t="s">
        <v>5154</v>
      </c>
      <c r="U281" s="213">
        <v>782</v>
      </c>
      <c r="V281" s="113">
        <v>409</v>
      </c>
      <c r="W281" s="113">
        <f t="shared" si="50"/>
        <v>319838</v>
      </c>
      <c r="X281" s="36" t="s">
        <v>751</v>
      </c>
      <c r="AH281" s="20">
        <v>68</v>
      </c>
      <c r="AI281" s="20" t="s">
        <v>5039</v>
      </c>
      <c r="AJ281" s="117">
        <v>500000</v>
      </c>
      <c r="AK281" s="20">
        <v>1</v>
      </c>
      <c r="AL281" s="20">
        <f t="shared" si="63"/>
        <v>106</v>
      </c>
      <c r="AM281" s="20">
        <f t="shared" si="64"/>
        <v>53000000</v>
      </c>
      <c r="AN281" s="20"/>
    </row>
    <row r="282" spans="17:40">
      <c r="Q282" s="99" t="s">
        <v>4696</v>
      </c>
      <c r="R282" s="95">
        <v>4369730</v>
      </c>
      <c r="T282" s="213" t="s">
        <v>5159</v>
      </c>
      <c r="U282" s="213">
        <v>1220</v>
      </c>
      <c r="V282" s="113">
        <v>409.9</v>
      </c>
      <c r="W282" s="113">
        <f t="shared" si="50"/>
        <v>500078</v>
      </c>
      <c r="X282" s="36" t="s">
        <v>751</v>
      </c>
      <c r="AH282" s="20">
        <v>69</v>
      </c>
      <c r="AI282" s="20" t="s">
        <v>5047</v>
      </c>
      <c r="AJ282" s="117">
        <v>850000</v>
      </c>
      <c r="AK282" s="20">
        <v>5</v>
      </c>
      <c r="AL282" s="20">
        <f t="shared" si="63"/>
        <v>105</v>
      </c>
      <c r="AM282" s="20">
        <f t="shared" si="64"/>
        <v>89250000</v>
      </c>
      <c r="AN282" s="20"/>
    </row>
    <row r="283" spans="17:40">
      <c r="Q283" s="99" t="s">
        <v>4698</v>
      </c>
      <c r="R283" s="95">
        <v>8739459</v>
      </c>
      <c r="T283" s="213" t="s">
        <v>5162</v>
      </c>
      <c r="U283" s="213">
        <v>1285</v>
      </c>
      <c r="V283" s="113">
        <v>388.84</v>
      </c>
      <c r="W283" s="113">
        <f t="shared" si="50"/>
        <v>499659.39999999997</v>
      </c>
      <c r="X283" s="36" t="s">
        <v>452</v>
      </c>
      <c r="AH283" s="20">
        <v>70</v>
      </c>
      <c r="AI283" s="20" t="s">
        <v>5057</v>
      </c>
      <c r="AJ283" s="117">
        <v>1130250</v>
      </c>
      <c r="AK283" s="20">
        <v>0</v>
      </c>
      <c r="AL283" s="20">
        <f t="shared" si="63"/>
        <v>100</v>
      </c>
      <c r="AM283" s="20">
        <f t="shared" si="64"/>
        <v>113025000</v>
      </c>
      <c r="AN283" s="20"/>
    </row>
    <row r="284" spans="17:40">
      <c r="Q284" s="99" t="s">
        <v>4707</v>
      </c>
      <c r="R284" s="95">
        <v>6667654</v>
      </c>
      <c r="T284" s="213" t="s">
        <v>5147</v>
      </c>
      <c r="U284" s="213">
        <v>1924</v>
      </c>
      <c r="V284" s="113">
        <v>386.69600000000003</v>
      </c>
      <c r="W284" s="113">
        <f t="shared" si="50"/>
        <v>744003.10400000005</v>
      </c>
      <c r="X284" s="36" t="s">
        <v>452</v>
      </c>
      <c r="AH284" s="261">
        <v>71</v>
      </c>
      <c r="AI284" s="261" t="s">
        <v>5057</v>
      </c>
      <c r="AJ284" s="252">
        <v>30000</v>
      </c>
      <c r="AK284" s="261">
        <v>5</v>
      </c>
      <c r="AL284" s="261">
        <f t="shared" si="63"/>
        <v>100</v>
      </c>
      <c r="AM284" s="261">
        <f t="shared" si="64"/>
        <v>3000000</v>
      </c>
      <c r="AN284" s="261"/>
    </row>
    <row r="285" spans="17:40">
      <c r="Q285" s="99" t="s">
        <v>3683</v>
      </c>
      <c r="R285" s="95">
        <v>8981245</v>
      </c>
      <c r="T285" s="213" t="s">
        <v>5178</v>
      </c>
      <c r="U285" s="213">
        <v>165</v>
      </c>
      <c r="V285" s="113">
        <v>393.5</v>
      </c>
      <c r="W285" s="113">
        <f t="shared" si="50"/>
        <v>64927.5</v>
      </c>
      <c r="X285" s="36" t="s">
        <v>452</v>
      </c>
      <c r="AH285" s="20">
        <v>72</v>
      </c>
      <c r="AI285" s="20" t="s">
        <v>5073</v>
      </c>
      <c r="AJ285" s="117">
        <v>206000</v>
      </c>
      <c r="AK285" s="20">
        <v>0</v>
      </c>
      <c r="AL285" s="20">
        <f t="shared" si="63"/>
        <v>95</v>
      </c>
      <c r="AM285" s="20">
        <f t="shared" si="64"/>
        <v>19570000</v>
      </c>
      <c r="AN285" s="20"/>
    </row>
    <row r="286" spans="17:40" ht="30">
      <c r="Q286" s="99" t="s">
        <v>4720</v>
      </c>
      <c r="R286" s="95">
        <v>9181756</v>
      </c>
      <c r="T286" s="213" t="s">
        <v>5186</v>
      </c>
      <c r="U286" s="213">
        <v>-34859</v>
      </c>
      <c r="V286" s="113">
        <v>403.1585</v>
      </c>
      <c r="W286" s="113">
        <f t="shared" si="50"/>
        <v>-14053702.1515</v>
      </c>
      <c r="X286" s="36" t="s">
        <v>5190</v>
      </c>
      <c r="AH286" s="149">
        <v>73</v>
      </c>
      <c r="AI286" s="149" t="s">
        <v>5073</v>
      </c>
      <c r="AJ286" s="188">
        <v>206000</v>
      </c>
      <c r="AK286" s="149">
        <v>2</v>
      </c>
      <c r="AL286" s="149">
        <f t="shared" si="63"/>
        <v>95</v>
      </c>
      <c r="AM286" s="149">
        <f t="shared" si="64"/>
        <v>19570000</v>
      </c>
      <c r="AN286" s="149"/>
    </row>
    <row r="287" spans="17:40">
      <c r="Q287" s="99" t="s">
        <v>4724</v>
      </c>
      <c r="R287" s="95">
        <v>11811208</v>
      </c>
      <c r="T287" s="213" t="s">
        <v>5148</v>
      </c>
      <c r="U287" s="213">
        <v>8476</v>
      </c>
      <c r="V287" s="113">
        <v>419.49900000000002</v>
      </c>
      <c r="W287" s="113">
        <f t="shared" si="50"/>
        <v>3555673.5240000002</v>
      </c>
      <c r="X287" s="36" t="s">
        <v>5198</v>
      </c>
      <c r="AH287" s="20">
        <v>74</v>
      </c>
      <c r="AI287" s="20" t="s">
        <v>5080</v>
      </c>
      <c r="AJ287" s="117">
        <v>50000</v>
      </c>
      <c r="AK287" s="20">
        <v>0</v>
      </c>
      <c r="AL287" s="20">
        <f t="shared" si="63"/>
        <v>93</v>
      </c>
      <c r="AM287" s="20">
        <f t="shared" si="64"/>
        <v>4650000</v>
      </c>
      <c r="AN287" s="20"/>
    </row>
    <row r="288" spans="17:40">
      <c r="Q288" s="99" t="s">
        <v>4738</v>
      </c>
      <c r="R288" s="95">
        <v>41248054</v>
      </c>
      <c r="T288" s="213" t="s">
        <v>5215</v>
      </c>
      <c r="U288" s="213">
        <v>903</v>
      </c>
      <c r="V288" s="113">
        <v>442.77379999999999</v>
      </c>
      <c r="W288" s="113">
        <f t="shared" si="50"/>
        <v>399824.7414</v>
      </c>
      <c r="X288" s="36" t="s">
        <v>751</v>
      </c>
      <c r="AH288" s="261">
        <v>75</v>
      </c>
      <c r="AI288" s="261" t="s">
        <v>5080</v>
      </c>
      <c r="AJ288" s="252">
        <v>50000</v>
      </c>
      <c r="AK288" s="261">
        <v>2</v>
      </c>
      <c r="AL288" s="261">
        <f t="shared" si="63"/>
        <v>93</v>
      </c>
      <c r="AM288" s="261">
        <f t="shared" si="64"/>
        <v>4650000</v>
      </c>
      <c r="AN288" s="261"/>
    </row>
    <row r="289" spans="16:44">
      <c r="Q289" s="99" t="s">
        <v>4746</v>
      </c>
      <c r="R289" s="95">
        <v>37328780</v>
      </c>
      <c r="T289" s="213" t="s">
        <v>5220</v>
      </c>
      <c r="U289" s="213">
        <v>113</v>
      </c>
      <c r="V289" s="113">
        <v>442.48200000000003</v>
      </c>
      <c r="W289" s="113">
        <f t="shared" ref="W289:W299" si="65">U289*V289</f>
        <v>50000.466</v>
      </c>
      <c r="X289" s="36" t="s">
        <v>751</v>
      </c>
      <c r="AH289" s="20">
        <v>76</v>
      </c>
      <c r="AI289" s="20" t="s">
        <v>5087</v>
      </c>
      <c r="AJ289" s="117">
        <v>20000000</v>
      </c>
      <c r="AK289" s="20">
        <v>7</v>
      </c>
      <c r="AL289" s="20">
        <f t="shared" si="63"/>
        <v>91</v>
      </c>
      <c r="AM289" s="20">
        <f t="shared" si="64"/>
        <v>1820000000</v>
      </c>
      <c r="AN289" s="20" t="s">
        <v>5088</v>
      </c>
    </row>
    <row r="290" spans="16:44">
      <c r="Q290" s="99" t="s">
        <v>4753</v>
      </c>
      <c r="R290" s="95">
        <v>50000000</v>
      </c>
      <c r="T290" s="213" t="s">
        <v>5231</v>
      </c>
      <c r="U290" s="213">
        <v>671</v>
      </c>
      <c r="V290" s="113">
        <v>447</v>
      </c>
      <c r="W290" s="113">
        <f t="shared" si="65"/>
        <v>299937</v>
      </c>
      <c r="X290" s="36" t="s">
        <v>751</v>
      </c>
      <c r="AH290" s="20">
        <v>77</v>
      </c>
      <c r="AI290" s="20" t="s">
        <v>5100</v>
      </c>
      <c r="AJ290" s="117">
        <v>50000</v>
      </c>
      <c r="AK290" s="20">
        <v>0</v>
      </c>
      <c r="AL290" s="20">
        <f t="shared" si="63"/>
        <v>84</v>
      </c>
      <c r="AM290" s="20">
        <f t="shared" si="64"/>
        <v>4200000</v>
      </c>
      <c r="AN290" s="20"/>
    </row>
    <row r="291" spans="16:44">
      <c r="Q291" s="99" t="s">
        <v>4817</v>
      </c>
      <c r="R291" s="95">
        <v>68656</v>
      </c>
      <c r="T291" s="213" t="s">
        <v>5233</v>
      </c>
      <c r="U291" s="213">
        <v>7</v>
      </c>
      <c r="V291" s="113">
        <v>465.31200000000001</v>
      </c>
      <c r="W291" s="113">
        <f t="shared" si="65"/>
        <v>3257.1840000000002</v>
      </c>
      <c r="X291" s="36" t="s">
        <v>452</v>
      </c>
      <c r="AH291" s="149">
        <v>78</v>
      </c>
      <c r="AI291" s="149" t="s">
        <v>5100</v>
      </c>
      <c r="AJ291" s="188">
        <v>50000</v>
      </c>
      <c r="AK291" s="149">
        <v>7</v>
      </c>
      <c r="AL291" s="149">
        <f t="shared" si="63"/>
        <v>84</v>
      </c>
      <c r="AM291" s="149">
        <f t="shared" si="64"/>
        <v>4200000</v>
      </c>
      <c r="AN291" s="149"/>
    </row>
    <row r="292" spans="16:44">
      <c r="Q292" s="99" t="s">
        <v>4831</v>
      </c>
      <c r="R292" s="95">
        <v>4000236</v>
      </c>
      <c r="T292" s="213" t="s">
        <v>5248</v>
      </c>
      <c r="U292" s="213">
        <v>12950</v>
      </c>
      <c r="V292" s="113">
        <v>463.31599999999997</v>
      </c>
      <c r="W292" s="113">
        <f t="shared" si="65"/>
        <v>5999942.1999999993</v>
      </c>
      <c r="X292" s="36" t="s">
        <v>452</v>
      </c>
      <c r="AH292" s="20">
        <v>79</v>
      </c>
      <c r="AI292" s="20" t="s">
        <v>5107</v>
      </c>
      <c r="AJ292" s="117">
        <v>2480000</v>
      </c>
      <c r="AK292" s="20">
        <v>0</v>
      </c>
      <c r="AL292" s="20">
        <f t="shared" si="63"/>
        <v>77</v>
      </c>
      <c r="AM292" s="20">
        <f t="shared" si="64"/>
        <v>190960000</v>
      </c>
      <c r="AN292" s="20"/>
    </row>
    <row r="293" spans="16:44">
      <c r="Q293" s="99" t="s">
        <v>4831</v>
      </c>
      <c r="R293" s="95">
        <v>2250000</v>
      </c>
      <c r="T293" s="213" t="s">
        <v>5256</v>
      </c>
      <c r="U293" s="213">
        <v>37</v>
      </c>
      <c r="V293" s="113">
        <v>463.315</v>
      </c>
      <c r="W293" s="113">
        <f t="shared" si="65"/>
        <v>17142.654999999999</v>
      </c>
      <c r="X293" s="36" t="s">
        <v>452</v>
      </c>
      <c r="AH293" s="149">
        <v>80</v>
      </c>
      <c r="AI293" s="149" t="s">
        <v>5107</v>
      </c>
      <c r="AJ293" s="188">
        <v>2480000</v>
      </c>
      <c r="AK293" s="149">
        <v>12</v>
      </c>
      <c r="AL293" s="149">
        <f t="shared" si="63"/>
        <v>77</v>
      </c>
      <c r="AM293" s="149">
        <f t="shared" si="64"/>
        <v>190960000</v>
      </c>
      <c r="AN293" s="149"/>
    </row>
    <row r="294" spans="16:44">
      <c r="Q294" s="99" t="s">
        <v>4836</v>
      </c>
      <c r="R294" s="95">
        <v>-2512200</v>
      </c>
      <c r="T294" s="213" t="s">
        <v>5258</v>
      </c>
      <c r="U294" s="213">
        <v>19</v>
      </c>
      <c r="V294" s="113">
        <v>434.3</v>
      </c>
      <c r="W294" s="113">
        <f t="shared" si="65"/>
        <v>8251.7000000000007</v>
      </c>
      <c r="X294" s="36" t="s">
        <v>452</v>
      </c>
      <c r="AH294" s="20">
        <v>81</v>
      </c>
      <c r="AI294" s="20" t="s">
        <v>5116</v>
      </c>
      <c r="AJ294" s="117">
        <v>-24159500</v>
      </c>
      <c r="AK294" s="20">
        <v>4</v>
      </c>
      <c r="AL294" s="20">
        <f t="shared" si="63"/>
        <v>65</v>
      </c>
      <c r="AM294" s="20">
        <f t="shared" si="64"/>
        <v>-1570367500</v>
      </c>
      <c r="AN294" s="20" t="s">
        <v>5131</v>
      </c>
    </row>
    <row r="295" spans="16:44">
      <c r="Q295" s="99" t="s">
        <v>4845</v>
      </c>
      <c r="R295" s="95">
        <v>300000</v>
      </c>
      <c r="T295" s="213" t="s">
        <v>5260</v>
      </c>
      <c r="U295" s="213">
        <v>16</v>
      </c>
      <c r="V295" s="113">
        <v>439</v>
      </c>
      <c r="W295" s="113">
        <f t="shared" si="65"/>
        <v>7024</v>
      </c>
      <c r="X295" s="36" t="s">
        <v>452</v>
      </c>
      <c r="AH295" s="20">
        <v>82</v>
      </c>
      <c r="AI295" s="20" t="s">
        <v>5133</v>
      </c>
      <c r="AJ295" s="117">
        <v>400000</v>
      </c>
      <c r="AK295" s="20">
        <v>3</v>
      </c>
      <c r="AL295" s="20">
        <f t="shared" si="63"/>
        <v>61</v>
      </c>
      <c r="AM295" s="20">
        <f t="shared" si="64"/>
        <v>24400000</v>
      </c>
      <c r="AN295" s="20"/>
    </row>
    <row r="296" spans="16:44" ht="45">
      <c r="Q296" s="99" t="s">
        <v>980</v>
      </c>
      <c r="R296" s="95">
        <v>1100000</v>
      </c>
      <c r="T296" s="213" t="s">
        <v>5260</v>
      </c>
      <c r="U296" s="213">
        <v>9191</v>
      </c>
      <c r="V296" s="113">
        <v>440.24630000000002</v>
      </c>
      <c r="W296" s="113">
        <f t="shared" si="65"/>
        <v>4046303.7433000002</v>
      </c>
      <c r="X296" s="36" t="s">
        <v>5263</v>
      </c>
      <c r="AH296" s="149">
        <v>83</v>
      </c>
      <c r="AI296" s="149" t="s">
        <v>5142</v>
      </c>
      <c r="AJ296" s="188">
        <v>40000</v>
      </c>
      <c r="AK296" s="149">
        <v>0</v>
      </c>
      <c r="AL296" s="149">
        <f t="shared" si="63"/>
        <v>58</v>
      </c>
      <c r="AM296" s="149">
        <f t="shared" si="64"/>
        <v>2320000</v>
      </c>
      <c r="AN296" s="149"/>
    </row>
    <row r="297" spans="16:44">
      <c r="Q297" s="99" t="s">
        <v>4852</v>
      </c>
      <c r="R297" s="95">
        <v>890000</v>
      </c>
      <c r="T297" s="213" t="s">
        <v>5265</v>
      </c>
      <c r="U297" s="213">
        <v>-8792</v>
      </c>
      <c r="V297" s="113">
        <v>441.90665999999999</v>
      </c>
      <c r="W297" s="113">
        <f t="shared" si="65"/>
        <v>-3885243.3547199997</v>
      </c>
      <c r="X297" s="36" t="s">
        <v>5266</v>
      </c>
      <c r="AH297" s="20">
        <v>84</v>
      </c>
      <c r="AI297" s="20" t="s">
        <v>5142</v>
      </c>
      <c r="AJ297" s="117">
        <v>40000</v>
      </c>
      <c r="AK297" s="20">
        <v>5</v>
      </c>
      <c r="AL297" s="20">
        <f t="shared" si="63"/>
        <v>58</v>
      </c>
      <c r="AM297" s="20">
        <f t="shared" si="64"/>
        <v>2320000</v>
      </c>
      <c r="AN297" s="20"/>
    </row>
    <row r="298" spans="16:44">
      <c r="Q298" s="99" t="s">
        <v>4872</v>
      </c>
      <c r="R298" s="95">
        <v>1000000</v>
      </c>
      <c r="T298" s="213" t="s">
        <v>5274</v>
      </c>
      <c r="U298" s="213">
        <v>24374</v>
      </c>
      <c r="V298" s="113">
        <v>471.81700000000001</v>
      </c>
      <c r="W298" s="113">
        <f t="shared" si="65"/>
        <v>11500067.558</v>
      </c>
      <c r="X298" s="36" t="s">
        <v>5279</v>
      </c>
      <c r="AH298" s="20">
        <v>85</v>
      </c>
      <c r="AI298" s="20" t="s">
        <v>5154</v>
      </c>
      <c r="AJ298" s="117">
        <v>200000</v>
      </c>
      <c r="AK298" s="20">
        <v>1</v>
      </c>
      <c r="AL298" s="20">
        <f t="shared" si="63"/>
        <v>53</v>
      </c>
      <c r="AM298" s="20">
        <f t="shared" si="64"/>
        <v>10600000</v>
      </c>
      <c r="AN298" s="20"/>
    </row>
    <row r="299" spans="16:44">
      <c r="Q299" s="99" t="s">
        <v>4873</v>
      </c>
      <c r="R299" s="95">
        <v>45436311</v>
      </c>
      <c r="T299" s="213" t="s">
        <v>5281</v>
      </c>
      <c r="U299" s="213">
        <v>530</v>
      </c>
      <c r="V299" s="113">
        <v>472</v>
      </c>
      <c r="W299" s="113">
        <f t="shared" si="65"/>
        <v>250160</v>
      </c>
      <c r="X299" s="36" t="s">
        <v>751</v>
      </c>
      <c r="AH299" s="20">
        <v>86</v>
      </c>
      <c r="AI299" s="20" t="s">
        <v>5159</v>
      </c>
      <c r="AJ299" s="117">
        <v>500000</v>
      </c>
      <c r="AK299" s="20">
        <v>2</v>
      </c>
      <c r="AL299" s="20">
        <f t="shared" ref="AL299:AL323" si="66">AK299+AL300</f>
        <v>52</v>
      </c>
      <c r="AM299" s="20">
        <f t="shared" ref="AM299:AM323" si="67">AJ299*AL299</f>
        <v>26000000</v>
      </c>
      <c r="AN299" s="20"/>
    </row>
    <row r="300" spans="16:44">
      <c r="Q300" s="99" t="s">
        <v>4873</v>
      </c>
      <c r="R300" s="95">
        <v>-3500000</v>
      </c>
      <c r="T300" s="213"/>
      <c r="U300" s="213"/>
      <c r="V300" s="113"/>
      <c r="W300" s="113"/>
      <c r="X300" s="36"/>
      <c r="AH300" s="20">
        <v>87</v>
      </c>
      <c r="AI300" s="20" t="s">
        <v>5162</v>
      </c>
      <c r="AJ300" s="117">
        <v>500000</v>
      </c>
      <c r="AK300" s="20">
        <v>3</v>
      </c>
      <c r="AL300" s="20">
        <f t="shared" si="66"/>
        <v>50</v>
      </c>
      <c r="AM300" s="20">
        <f t="shared" si="67"/>
        <v>25000000</v>
      </c>
      <c r="AN300" s="20"/>
      <c r="AR300" t="s">
        <v>25</v>
      </c>
    </row>
    <row r="301" spans="16:44">
      <c r="Q301" s="99" t="s">
        <v>4887</v>
      </c>
      <c r="R301" s="95">
        <v>2520000</v>
      </c>
      <c r="T301" s="213"/>
      <c r="U301" s="213"/>
      <c r="V301" s="113"/>
      <c r="W301" s="113"/>
      <c r="X301" s="36"/>
      <c r="AH301" s="20">
        <v>88</v>
      </c>
      <c r="AI301" s="20" t="s">
        <v>5147</v>
      </c>
      <c r="AJ301" s="117">
        <v>250000</v>
      </c>
      <c r="AK301" s="20">
        <v>0</v>
      </c>
      <c r="AL301" s="20">
        <f t="shared" si="66"/>
        <v>47</v>
      </c>
      <c r="AM301" s="20">
        <f t="shared" si="67"/>
        <v>11750000</v>
      </c>
      <c r="AN301" s="20"/>
    </row>
    <row r="302" spans="16:44">
      <c r="Q302" s="99" t="s">
        <v>4922</v>
      </c>
      <c r="R302" s="95">
        <v>4900000</v>
      </c>
      <c r="T302" s="168"/>
      <c r="U302" s="168"/>
      <c r="V302" s="113"/>
      <c r="W302" s="113"/>
      <c r="X302" s="99"/>
      <c r="Y302" t="s">
        <v>25</v>
      </c>
      <c r="AH302" s="261">
        <v>89</v>
      </c>
      <c r="AI302" s="261" t="s">
        <v>5147</v>
      </c>
      <c r="AJ302" s="252">
        <v>245000</v>
      </c>
      <c r="AK302" s="261">
        <v>16</v>
      </c>
      <c r="AL302" s="261">
        <f t="shared" si="66"/>
        <v>47</v>
      </c>
      <c r="AM302" s="261">
        <f t="shared" si="67"/>
        <v>11515000</v>
      </c>
      <c r="AN302" s="261"/>
    </row>
    <row r="303" spans="16:44">
      <c r="P303" t="s">
        <v>25</v>
      </c>
      <c r="Q303" s="99" t="s">
        <v>4943</v>
      </c>
      <c r="R303" s="95">
        <v>1150000</v>
      </c>
      <c r="T303" s="168"/>
      <c r="U303" s="168">
        <f>SUM(U187:U302)</f>
        <v>3616189</v>
      </c>
      <c r="V303" s="99"/>
      <c r="W303" s="99"/>
      <c r="X303" s="99"/>
      <c r="Y303" t="s">
        <v>25</v>
      </c>
      <c r="AH303" s="20">
        <v>90</v>
      </c>
      <c r="AI303" s="20" t="s">
        <v>5191</v>
      </c>
      <c r="AJ303" s="117">
        <v>312598</v>
      </c>
      <c r="AK303" s="20">
        <v>0</v>
      </c>
      <c r="AL303" s="20">
        <f t="shared" si="66"/>
        <v>31</v>
      </c>
      <c r="AM303" s="20">
        <f t="shared" si="67"/>
        <v>9690538</v>
      </c>
      <c r="AN303" s="20"/>
    </row>
    <row r="304" spans="16:44">
      <c r="Q304" s="99" t="s">
        <v>4894</v>
      </c>
      <c r="R304" s="95">
        <v>250000</v>
      </c>
      <c r="S304" s="114"/>
      <c r="T304" s="99"/>
      <c r="U304" s="99" t="s">
        <v>6</v>
      </c>
      <c r="V304" s="99"/>
      <c r="W304" s="99"/>
      <c r="X304" s="99"/>
      <c r="AH304" s="20">
        <v>91</v>
      </c>
      <c r="AI304" s="20" t="s">
        <v>5191</v>
      </c>
      <c r="AJ304" s="117">
        <v>780000</v>
      </c>
      <c r="AK304" s="20">
        <v>0</v>
      </c>
      <c r="AL304" s="20">
        <f t="shared" si="66"/>
        <v>31</v>
      </c>
      <c r="AM304" s="20">
        <f t="shared" si="67"/>
        <v>24180000</v>
      </c>
      <c r="AN304" s="20"/>
    </row>
    <row r="305" spans="17:40">
      <c r="Q305" s="99" t="s">
        <v>4984</v>
      </c>
      <c r="R305" s="95">
        <v>1403460</v>
      </c>
      <c r="T305" s="200" t="s">
        <v>4481</v>
      </c>
      <c r="AH305" s="195">
        <v>92</v>
      </c>
      <c r="AI305" s="195" t="s">
        <v>5191</v>
      </c>
      <c r="AJ305" s="196">
        <v>-300000</v>
      </c>
      <c r="AK305" s="195">
        <v>1</v>
      </c>
      <c r="AL305" s="195">
        <f t="shared" si="66"/>
        <v>31</v>
      </c>
      <c r="AM305" s="195">
        <f t="shared" si="67"/>
        <v>-9300000</v>
      </c>
      <c r="AN305" s="195"/>
    </row>
    <row r="306" spans="17:40">
      <c r="Q306" s="99" t="s">
        <v>4989</v>
      </c>
      <c r="R306" s="95">
        <v>200000</v>
      </c>
      <c r="T306" s="199">
        <f>R200/U303</f>
        <v>481.94373667969234</v>
      </c>
      <c r="AH306" s="20">
        <v>93</v>
      </c>
      <c r="AI306" s="20" t="s">
        <v>5148</v>
      </c>
      <c r="AJ306" s="117">
        <v>300000</v>
      </c>
      <c r="AK306" s="20">
        <v>0</v>
      </c>
      <c r="AL306" s="20">
        <f t="shared" si="66"/>
        <v>30</v>
      </c>
      <c r="AM306" s="20">
        <f t="shared" si="67"/>
        <v>9000000</v>
      </c>
      <c r="AN306" s="20"/>
    </row>
    <row r="307" spans="17:40">
      <c r="Q307" s="99" t="s">
        <v>4996</v>
      </c>
      <c r="R307" s="95">
        <v>345000</v>
      </c>
      <c r="W307" s="114"/>
      <c r="AH307" s="20">
        <v>94</v>
      </c>
      <c r="AI307" s="20" t="s">
        <v>5148</v>
      </c>
      <c r="AJ307" s="117">
        <v>8660000</v>
      </c>
      <c r="AK307" s="20">
        <v>8</v>
      </c>
      <c r="AL307" s="20">
        <f t="shared" si="66"/>
        <v>30</v>
      </c>
      <c r="AM307" s="20">
        <f t="shared" si="67"/>
        <v>259800000</v>
      </c>
      <c r="AN307" s="20"/>
    </row>
    <row r="308" spans="17:40">
      <c r="Q308" s="99" t="s">
        <v>5002</v>
      </c>
      <c r="R308" s="95">
        <v>900000</v>
      </c>
      <c r="U308" s="96" t="s">
        <v>267</v>
      </c>
      <c r="V308" t="s">
        <v>4482</v>
      </c>
      <c r="X308" t="s">
        <v>25</v>
      </c>
      <c r="AH308" s="149">
        <v>95</v>
      </c>
      <c r="AI308" s="149" t="s">
        <v>5215</v>
      </c>
      <c r="AJ308" s="188">
        <v>200000</v>
      </c>
      <c r="AK308" s="149">
        <v>3</v>
      </c>
      <c r="AL308" s="149">
        <f t="shared" si="66"/>
        <v>22</v>
      </c>
      <c r="AM308" s="149">
        <f t="shared" si="67"/>
        <v>4400000</v>
      </c>
      <c r="AN308" s="149"/>
    </row>
    <row r="309" spans="17:40">
      <c r="Q309" s="99" t="s">
        <v>5006</v>
      </c>
      <c r="R309" s="95">
        <v>372517</v>
      </c>
      <c r="T309" s="114"/>
      <c r="U309" s="113">
        <v>250000</v>
      </c>
      <c r="V309">
        <f>U309/T306</f>
        <v>518.73275026324097</v>
      </c>
      <c r="X309" t="s">
        <v>25</v>
      </c>
      <c r="AH309" s="149">
        <v>96</v>
      </c>
      <c r="AI309" s="149" t="s">
        <v>5220</v>
      </c>
      <c r="AJ309" s="188">
        <v>20000</v>
      </c>
      <c r="AK309" s="149">
        <v>1</v>
      </c>
      <c r="AL309" s="149">
        <f t="shared" si="66"/>
        <v>19</v>
      </c>
      <c r="AM309" s="149">
        <f t="shared" si="67"/>
        <v>380000</v>
      </c>
      <c r="AN309" s="149"/>
    </row>
    <row r="310" spans="17:40">
      <c r="Q310" s="99" t="s">
        <v>5017</v>
      </c>
      <c r="R310" s="95">
        <v>6489257</v>
      </c>
      <c r="X310" t="s">
        <v>25</v>
      </c>
      <c r="AH310" s="20">
        <v>97</v>
      </c>
      <c r="AI310" s="20" t="s">
        <v>5231</v>
      </c>
      <c r="AJ310" s="117">
        <v>14340000</v>
      </c>
      <c r="AK310" s="20">
        <v>7</v>
      </c>
      <c r="AL310" s="20">
        <f t="shared" si="66"/>
        <v>18</v>
      </c>
      <c r="AM310" s="20">
        <f t="shared" si="67"/>
        <v>258120000</v>
      </c>
      <c r="AN310" s="20"/>
    </row>
    <row r="311" spans="17:40">
      <c r="Q311" s="99" t="s">
        <v>5073</v>
      </c>
      <c r="R311" s="95">
        <v>618000</v>
      </c>
      <c r="W311" s="223"/>
      <c r="X311" s="96" t="s">
        <v>25</v>
      </c>
      <c r="AH311" s="20">
        <v>98</v>
      </c>
      <c r="AI311" s="20" t="s">
        <v>5248</v>
      </c>
      <c r="AJ311" s="117">
        <v>10000000</v>
      </c>
      <c r="AK311" s="20">
        <v>6</v>
      </c>
      <c r="AL311" s="20">
        <f t="shared" si="66"/>
        <v>11</v>
      </c>
      <c r="AM311" s="20">
        <f t="shared" si="67"/>
        <v>110000000</v>
      </c>
      <c r="AN311" s="20" t="s">
        <v>4755</v>
      </c>
    </row>
    <row r="312" spans="17:40">
      <c r="Q312" s="99" t="s">
        <v>5087</v>
      </c>
      <c r="R312" s="95">
        <v>20105000</v>
      </c>
      <c r="X312" t="s">
        <v>25</v>
      </c>
      <c r="AH312" s="20">
        <v>99</v>
      </c>
      <c r="AI312" s="20" t="s">
        <v>5260</v>
      </c>
      <c r="AJ312" s="117">
        <v>4033949</v>
      </c>
      <c r="AK312" s="20">
        <v>2</v>
      </c>
      <c r="AL312" s="20">
        <f t="shared" si="66"/>
        <v>5</v>
      </c>
      <c r="AM312" s="20">
        <f t="shared" si="67"/>
        <v>20169745</v>
      </c>
      <c r="AN312" s="20" t="s">
        <v>5264</v>
      </c>
    </row>
    <row r="313" spans="17:40">
      <c r="Q313" s="99" t="s">
        <v>5092</v>
      </c>
      <c r="R313" s="95">
        <v>-21079990</v>
      </c>
      <c r="X313" t="s">
        <v>25</v>
      </c>
      <c r="AH313" s="149">
        <v>100</v>
      </c>
      <c r="AI313" s="149" t="s">
        <v>5270</v>
      </c>
      <c r="AJ313" s="188">
        <v>11500000</v>
      </c>
      <c r="AK313" s="149">
        <v>2</v>
      </c>
      <c r="AL313" s="149">
        <f t="shared" si="66"/>
        <v>3</v>
      </c>
      <c r="AM313" s="149">
        <f t="shared" si="67"/>
        <v>34500000</v>
      </c>
      <c r="AN313" s="149" t="s">
        <v>5277</v>
      </c>
    </row>
    <row r="314" spans="17:40" ht="60">
      <c r="Q314" s="99" t="s">
        <v>5093</v>
      </c>
      <c r="R314" s="95">
        <v>-5949277</v>
      </c>
      <c r="T314" s="22" t="s">
        <v>4465</v>
      </c>
      <c r="V314" s="223"/>
      <c r="X314" t="s">
        <v>25</v>
      </c>
      <c r="AH314" s="149">
        <v>101</v>
      </c>
      <c r="AI314" s="149" t="s">
        <v>5281</v>
      </c>
      <c r="AJ314" s="188">
        <v>250000</v>
      </c>
      <c r="AK314" s="149">
        <v>1</v>
      </c>
      <c r="AL314" s="149">
        <f t="shared" si="66"/>
        <v>1</v>
      </c>
      <c r="AM314" s="149">
        <f t="shared" si="67"/>
        <v>250000</v>
      </c>
      <c r="AN314" s="149"/>
    </row>
    <row r="315" spans="17:40" ht="45">
      <c r="Q315" s="99" t="s">
        <v>5100</v>
      </c>
      <c r="R315" s="95">
        <v>-15370656</v>
      </c>
      <c r="T315" s="22" t="s">
        <v>4466</v>
      </c>
      <c r="AH315" s="20"/>
      <c r="AI315" s="20"/>
      <c r="AJ315" s="117"/>
      <c r="AK315" s="20"/>
      <c r="AL315" s="20">
        <f t="shared" si="66"/>
        <v>0</v>
      </c>
      <c r="AM315" s="20">
        <f t="shared" si="67"/>
        <v>0</v>
      </c>
      <c r="AN315" s="20"/>
    </row>
    <row r="316" spans="17:40">
      <c r="Q316" s="99" t="s">
        <v>5107</v>
      </c>
      <c r="R316" s="95">
        <v>4960000</v>
      </c>
      <c r="AH316" s="20"/>
      <c r="AI316" s="20"/>
      <c r="AJ316" s="117"/>
      <c r="AK316" s="20"/>
      <c r="AL316" s="20">
        <f t="shared" si="66"/>
        <v>0</v>
      </c>
      <c r="AM316" s="20">
        <f t="shared" si="67"/>
        <v>0</v>
      </c>
      <c r="AN316" s="20"/>
    </row>
    <row r="317" spans="17:40">
      <c r="Q317" s="99" t="s">
        <v>5107</v>
      </c>
      <c r="R317" s="95">
        <v>10000000</v>
      </c>
      <c r="AH317" s="20"/>
      <c r="AI317" s="20"/>
      <c r="AJ317" s="117"/>
      <c r="AK317" s="20"/>
      <c r="AL317" s="20">
        <f t="shared" si="66"/>
        <v>0</v>
      </c>
      <c r="AM317" s="20">
        <f t="shared" si="67"/>
        <v>0</v>
      </c>
      <c r="AN317" s="20"/>
    </row>
    <row r="318" spans="17:40">
      <c r="Q318" s="99" t="s">
        <v>5116</v>
      </c>
      <c r="R318" s="95">
        <v>-40570100</v>
      </c>
      <c r="T318" s="99" t="s">
        <v>4483</v>
      </c>
      <c r="U318" s="99" t="s">
        <v>4454</v>
      </c>
      <c r="V318" s="99" t="s">
        <v>952</v>
      </c>
      <c r="W318" s="74"/>
      <c r="AH318" s="20"/>
      <c r="AI318" s="20"/>
      <c r="AJ318" s="117"/>
      <c r="AK318" s="20"/>
      <c r="AL318" s="20">
        <f t="shared" si="66"/>
        <v>0</v>
      </c>
      <c r="AM318" s="20">
        <f t="shared" si="67"/>
        <v>0</v>
      </c>
      <c r="AN318" s="20"/>
    </row>
    <row r="319" spans="17:40">
      <c r="Q319" s="99" t="s">
        <v>5132</v>
      </c>
      <c r="R319" s="95">
        <v>1000000</v>
      </c>
      <c r="T319" s="95">
        <f>S222+R267+R337</f>
        <v>904247022</v>
      </c>
      <c r="U319" s="95">
        <f>R200</f>
        <v>1742799639.2</v>
      </c>
      <c r="V319" s="95">
        <f>U319-T319</f>
        <v>838552617.20000005</v>
      </c>
      <c r="AH319" s="20"/>
      <c r="AI319" s="20"/>
      <c r="AJ319" s="117"/>
      <c r="AK319" s="20"/>
      <c r="AL319" s="20">
        <f t="shared" si="66"/>
        <v>0</v>
      </c>
      <c r="AM319" s="20">
        <f t="shared" si="67"/>
        <v>0</v>
      </c>
      <c r="AN319" s="20"/>
    </row>
    <row r="320" spans="17:40">
      <c r="Q320" s="99" t="s">
        <v>5133</v>
      </c>
      <c r="R320" s="95">
        <v>400000</v>
      </c>
      <c r="AH320" s="20"/>
      <c r="AI320" s="20"/>
      <c r="AJ320" s="117"/>
      <c r="AK320" s="20"/>
      <c r="AL320" s="20">
        <f t="shared" si="66"/>
        <v>0</v>
      </c>
      <c r="AM320" s="20">
        <f t="shared" si="67"/>
        <v>0</v>
      </c>
      <c r="AN320" s="20"/>
    </row>
    <row r="321" spans="17:40">
      <c r="Q321" s="99" t="s">
        <v>5142</v>
      </c>
      <c r="R321" s="95">
        <v>120000</v>
      </c>
      <c r="AH321" s="20"/>
      <c r="AI321" s="20"/>
      <c r="AJ321" s="117"/>
      <c r="AK321" s="20"/>
      <c r="AL321" s="20">
        <f t="shared" si="66"/>
        <v>0</v>
      </c>
      <c r="AM321" s="20">
        <f t="shared" si="67"/>
        <v>0</v>
      </c>
      <c r="AN321" s="20"/>
    </row>
    <row r="322" spans="17:40">
      <c r="Q322" s="99" t="s">
        <v>5162</v>
      </c>
      <c r="R322" s="95">
        <v>500000</v>
      </c>
      <c r="AH322" s="99"/>
      <c r="AI322" s="99"/>
      <c r="AJ322" s="117"/>
      <c r="AK322" s="99"/>
      <c r="AL322" s="20">
        <f t="shared" si="66"/>
        <v>0</v>
      </c>
      <c r="AM322" s="20">
        <f t="shared" si="67"/>
        <v>0</v>
      </c>
      <c r="AN322" s="20"/>
    </row>
    <row r="323" spans="17:40">
      <c r="Q323" s="99" t="s">
        <v>5147</v>
      </c>
      <c r="R323" s="95">
        <v>744000</v>
      </c>
      <c r="AH323" s="99"/>
      <c r="AI323" s="99"/>
      <c r="AJ323" s="117"/>
      <c r="AK323" s="99"/>
      <c r="AL323" s="20">
        <f t="shared" si="66"/>
        <v>0</v>
      </c>
      <c r="AM323" s="20">
        <f t="shared" si="67"/>
        <v>0</v>
      </c>
      <c r="AN323" s="99"/>
    </row>
    <row r="324" spans="17:40">
      <c r="Q324" s="99" t="s">
        <v>5178</v>
      </c>
      <c r="R324" s="95">
        <v>65000</v>
      </c>
      <c r="T324" t="s">
        <v>25</v>
      </c>
      <c r="AH324" s="99"/>
      <c r="AI324" s="99"/>
      <c r="AJ324" s="95">
        <f>SUM(AJ214:AJ323)</f>
        <v>451273895</v>
      </c>
      <c r="AK324" s="99"/>
      <c r="AL324" s="99"/>
      <c r="AM324" s="99">
        <f>SUM(AM214:AM323)</f>
        <v>81303957300</v>
      </c>
      <c r="AN324" s="95">
        <f>AM324*AN200/31</f>
        <v>43712679.236100003</v>
      </c>
    </row>
    <row r="325" spans="17:40">
      <c r="Q325" s="99" t="s">
        <v>5186</v>
      </c>
      <c r="R325" s="95">
        <v>-14053702</v>
      </c>
      <c r="T325" t="s">
        <v>25</v>
      </c>
      <c r="AJ325" t="s">
        <v>4058</v>
      </c>
      <c r="AM325" t="s">
        <v>284</v>
      </c>
      <c r="AN325" t="s">
        <v>942</v>
      </c>
    </row>
    <row r="326" spans="17:40">
      <c r="Q326" s="99" t="s">
        <v>5148</v>
      </c>
      <c r="R326" s="95">
        <v>3555678</v>
      </c>
    </row>
    <row r="327" spans="17:40">
      <c r="Q327" s="99" t="s">
        <v>5233</v>
      </c>
      <c r="R327" s="95">
        <v>3495</v>
      </c>
      <c r="T327" t="s">
        <v>25</v>
      </c>
      <c r="AI327" t="s">
        <v>4060</v>
      </c>
      <c r="AJ327" s="114">
        <f>AJ324+AN324</f>
        <v>494986574.23610002</v>
      </c>
    </row>
    <row r="328" spans="17:40">
      <c r="Q328" s="99" t="s">
        <v>5248</v>
      </c>
      <c r="R328" s="95">
        <v>6000000</v>
      </c>
      <c r="T328" t="s">
        <v>25</v>
      </c>
      <c r="AI328" t="s">
        <v>4063</v>
      </c>
      <c r="AJ328" s="114">
        <f>SUM(N20:N35)</f>
        <v>747060482.60000002</v>
      </c>
    </row>
    <row r="329" spans="17:40">
      <c r="Q329" s="99" t="s">
        <v>5256</v>
      </c>
      <c r="R329" s="95">
        <v>17220</v>
      </c>
      <c r="AI329" t="s">
        <v>4135</v>
      </c>
      <c r="AJ329" s="114">
        <f>AJ328-AJ324</f>
        <v>295786587.60000002</v>
      </c>
    </row>
    <row r="330" spans="17:40">
      <c r="Q330" s="99" t="s">
        <v>5258</v>
      </c>
      <c r="R330" s="95">
        <v>8249</v>
      </c>
      <c r="AI330" t="s">
        <v>942</v>
      </c>
      <c r="AJ330" s="114">
        <f>AN324</f>
        <v>43712679.236100003</v>
      </c>
    </row>
    <row r="331" spans="17:40">
      <c r="Q331" s="99" t="s">
        <v>5260</v>
      </c>
      <c r="R331" s="95">
        <v>6937</v>
      </c>
      <c r="S331" s="114"/>
      <c r="T331" t="s">
        <v>25</v>
      </c>
      <c r="AI331" t="s">
        <v>4064</v>
      </c>
      <c r="AJ331" s="114">
        <f>AJ329-AJ330</f>
        <v>252073908.36390001</v>
      </c>
      <c r="AM331" t="s">
        <v>25</v>
      </c>
      <c r="AN331" t="s">
        <v>25</v>
      </c>
    </row>
    <row r="332" spans="17:40">
      <c r="Q332" s="99" t="s">
        <v>5260</v>
      </c>
      <c r="R332" s="95">
        <v>4046552</v>
      </c>
      <c r="T332" t="s">
        <v>25</v>
      </c>
      <c r="AN332" t="s">
        <v>25</v>
      </c>
    </row>
    <row r="333" spans="17:40">
      <c r="Q333" s="99" t="s">
        <v>5265</v>
      </c>
      <c r="R333" s="95">
        <v>-3884943</v>
      </c>
      <c r="W333" s="96" t="s">
        <v>25</v>
      </c>
    </row>
    <row r="334" spans="17:40">
      <c r="Q334" s="99"/>
      <c r="R334" s="95"/>
      <c r="T334" t="s">
        <v>25</v>
      </c>
    </row>
    <row r="335" spans="17:40">
      <c r="Q335" s="99"/>
      <c r="R335" s="95"/>
      <c r="T335" t="s">
        <v>25</v>
      </c>
      <c r="AN335" t="s">
        <v>25</v>
      </c>
    </row>
    <row r="336" spans="17:40">
      <c r="Q336" s="99"/>
      <c r="R336" s="95"/>
      <c r="AN336" t="s">
        <v>25</v>
      </c>
    </row>
    <row r="337" spans="17:21">
      <c r="Q337" s="99"/>
      <c r="R337" s="95">
        <f>SUM(R272:R336)</f>
        <v>382914642</v>
      </c>
      <c r="T337" t="s">
        <v>25</v>
      </c>
      <c r="U337" s="96" t="s">
        <v>25</v>
      </c>
    </row>
    <row r="338" spans="17:21">
      <c r="Q338" s="99"/>
      <c r="R338" s="99" t="s">
        <v>6</v>
      </c>
      <c r="T338" t="s">
        <v>25</v>
      </c>
    </row>
    <row r="339" spans="17:21">
      <c r="T339" t="s">
        <v>25</v>
      </c>
    </row>
    <row r="340" spans="17:21">
      <c r="T340" t="s">
        <v>25</v>
      </c>
    </row>
    <row r="341" spans="17:21">
      <c r="T341" t="s">
        <v>25</v>
      </c>
    </row>
    <row r="343" spans="17:21">
      <c r="T343" t="s">
        <v>25</v>
      </c>
    </row>
    <row r="346" spans="17:21">
      <c r="R346" t="s">
        <v>25</v>
      </c>
      <c r="U34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23 G125 G105:G112 G114 G131:G132 G136:G140 G142:G1048576">
    <cfRule type="cellIs" dxfId="9" priority="12" operator="lessThan">
      <formula>0</formula>
    </cfRule>
  </conditionalFormatting>
  <conditionalFormatting sqref="G115">
    <cfRule type="cellIs" dxfId="8" priority="3" operator="lessThan">
      <formula>0</formula>
    </cfRule>
  </conditionalFormatting>
  <conditionalFormatting sqref="G116 G118">
    <cfRule type="cellIs" dxfId="7" priority="4" operator="lessThan">
      <formula>0</formula>
    </cfRule>
  </conditionalFormatting>
  <conditionalFormatting sqref="G119">
    <cfRule type="cellIs" dxfId="6" priority="1" operator="lessThan">
      <formula>0</formula>
    </cfRule>
  </conditionalFormatting>
  <conditionalFormatting sqref="G113">
    <cfRule type="cellIs" dxfId="5" priority="5" operator="lessThan">
      <formula>0</formula>
    </cfRule>
  </conditionalFormatting>
  <conditionalFormatting sqref="G117">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6 S128 S137 S84 S143 S145 P29 S46:S47 M112 S53 S49 P3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2019-09-25T11:10:59Z</dcterms:modified>
</cp:coreProperties>
</file>