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K113" i="18" l="1"/>
  <c r="F107" i="18"/>
  <c r="F108" i="18"/>
  <c r="F109" i="18"/>
  <c r="F110" i="18"/>
  <c r="F111" i="18"/>
  <c r="F106" i="18"/>
  <c r="G111" i="18"/>
  <c r="G110" i="18"/>
  <c r="G109" i="18"/>
  <c r="G108" i="18"/>
  <c r="G107" i="18"/>
  <c r="G106" i="18"/>
  <c r="L106" i="18"/>
  <c r="P28" i="18"/>
  <c r="N28" i="18" s="1"/>
  <c r="P23" i="18"/>
  <c r="N23" i="18" s="1"/>
  <c r="D306" i="20" l="1"/>
  <c r="D305" i="20" l="1"/>
  <c r="O20" i="52" l="1"/>
  <c r="AD25" i="52" l="1"/>
  <c r="AD24" i="52"/>
  <c r="AD23" i="52"/>
  <c r="AD22" i="52"/>
  <c r="AD21" i="52"/>
  <c r="Z22" i="52"/>
  <c r="Z21" i="52"/>
  <c r="AE22" i="52"/>
  <c r="AE21" i="52"/>
  <c r="N20" i="52"/>
  <c r="D304" i="20" l="1"/>
  <c r="R201" i="18"/>
  <c r="R185" i="18"/>
  <c r="W163" i="18"/>
  <c r="W162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M114" i="18" l="1"/>
  <c r="L107" i="18"/>
  <c r="L108" i="18"/>
  <c r="L109" i="18"/>
  <c r="L110" i="18"/>
  <c r="L111" i="18"/>
  <c r="L112" i="18"/>
  <c r="W161" i="18" l="1"/>
  <c r="W160" i="18"/>
  <c r="D303" i="20"/>
  <c r="D302" i="20"/>
  <c r="R165" i="18"/>
  <c r="W159" i="18"/>
  <c r="D301" i="20" l="1"/>
  <c r="D300" i="20"/>
  <c r="D299" i="20"/>
  <c r="Z18" i="52" l="1"/>
  <c r="AD18" i="52"/>
  <c r="AE18" i="52"/>
  <c r="P29" i="18"/>
  <c r="P27" i="18"/>
  <c r="P24" i="18"/>
  <c r="P22" i="18"/>
  <c r="P21" i="18"/>
  <c r="D298" i="20"/>
  <c r="I307" i="20" l="1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I306" i="20" l="1"/>
  <c r="K306" i="20"/>
  <c r="J306" i="20"/>
  <c r="I305" i="20"/>
  <c r="I304" i="20"/>
  <c r="K305" i="20"/>
  <c r="J305" i="20"/>
  <c r="K304" i="20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7" i="18"/>
  <c r="U166" i="18"/>
  <c r="N52" i="18"/>
  <c r="N47" i="18"/>
  <c r="M111" i="18" l="1"/>
  <c r="N111" i="18" s="1"/>
  <c r="AD17" i="52"/>
  <c r="AE17" i="52"/>
  <c r="AD16" i="52"/>
  <c r="AE16" i="52"/>
  <c r="Z17" i="52"/>
  <c r="D296" i="20"/>
  <c r="D295" i="20"/>
  <c r="W156" i="18" l="1"/>
  <c r="W155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4" i="18"/>
  <c r="W153" i="18"/>
  <c r="H38" i="55" l="1"/>
  <c r="I2" i="55"/>
  <c r="I33" i="55" s="1"/>
  <c r="I38" i="55" s="1"/>
  <c r="D32" i="55"/>
  <c r="D293" i="20"/>
  <c r="W152" i="18" l="1"/>
  <c r="N49" i="18"/>
  <c r="N55" i="18"/>
  <c r="N54" i="18"/>
  <c r="N51" i="18"/>
  <c r="M110" i="18" l="1"/>
  <c r="N110" i="18" s="1"/>
  <c r="D292" i="20"/>
  <c r="C8" i="36"/>
  <c r="W151" i="18"/>
  <c r="N5" i="52"/>
  <c r="N50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0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2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1" i="18"/>
  <c r="D281" i="20" l="1"/>
  <c r="D280" i="20" l="1"/>
  <c r="AD5" i="52" l="1"/>
  <c r="B38" i="52"/>
  <c r="D279" i="20"/>
  <c r="W126" i="18" l="1"/>
  <c r="W149" i="18"/>
  <c r="D278" i="20"/>
  <c r="W128" i="18" l="1"/>
  <c r="W12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1" i="18"/>
  <c r="AR14" i="18"/>
  <c r="S120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8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M22" i="52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48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7" i="18"/>
  <c r="AM124" i="18" l="1"/>
  <c r="AL123" i="18"/>
  <c r="AM123" i="18" l="1"/>
  <c r="AL122" i="18"/>
  <c r="L34" i="18"/>
  <c r="AL121" i="18" l="1"/>
  <c r="AM122" i="18"/>
  <c r="W141" i="18"/>
  <c r="W142" i="18"/>
  <c r="W143" i="18"/>
  <c r="W144" i="18"/>
  <c r="W145" i="18"/>
  <c r="W146" i="18"/>
  <c r="W158" i="18"/>
  <c r="W140" i="18"/>
  <c r="AM121" i="18" l="1"/>
  <c r="AL120" i="18"/>
  <c r="N57" i="18"/>
  <c r="AM120" i="18" l="1"/>
  <c r="AL119" i="18"/>
  <c r="T182" i="18"/>
  <c r="AM119" i="18" l="1"/>
  <c r="AL118" i="18"/>
  <c r="T124" i="18"/>
  <c r="S41" i="18"/>
  <c r="S42" i="18" s="1"/>
  <c r="S43" i="18" s="1"/>
  <c r="R145" i="18"/>
  <c r="R144" i="18"/>
  <c r="R143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2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6" i="18"/>
  <c r="M109" i="18" s="1"/>
  <c r="AM112" i="18" l="1"/>
  <c r="AL111" i="18"/>
  <c r="N109" i="18"/>
  <c r="D108" i="50"/>
  <c r="AL110" i="18" l="1"/>
  <c r="AM111" i="18"/>
  <c r="N45" i="18"/>
  <c r="AL109" i="18" l="1"/>
  <c r="AM110" i="18"/>
  <c r="N42" i="18"/>
  <c r="M108" i="18" l="1"/>
  <c r="N108" i="18" s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M112" i="18" s="1"/>
  <c r="N53" i="18"/>
  <c r="AL104" i="18" l="1"/>
  <c r="AM105" i="18"/>
  <c r="N112" i="18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2" i="18"/>
  <c r="AL101" i="18" l="1"/>
  <c r="AM102" i="18"/>
  <c r="AL177" i="18"/>
  <c r="AM178" i="18"/>
  <c r="S30" i="18"/>
  <c r="S31" i="18" s="1"/>
  <c r="S32" i="18" s="1"/>
  <c r="S33" i="18" s="1"/>
  <c r="S34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2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1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2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AL76" i="18"/>
  <c r="AM77" i="18"/>
  <c r="S87" i="18" l="1"/>
  <c r="S88" i="18" s="1"/>
  <c r="S89" i="18" s="1"/>
  <c r="S90" i="18" s="1"/>
  <c r="S91" i="18" s="1"/>
  <c r="S92" i="18" s="1"/>
  <c r="S93" i="18" s="1"/>
  <c r="S94" i="18" s="1"/>
  <c r="S95" i="18" s="1"/>
  <c r="S96" i="18" s="1"/>
  <c r="G291" i="20"/>
  <c r="I292" i="20"/>
  <c r="K292" i="20"/>
  <c r="J292" i="20"/>
  <c r="AL75" i="18"/>
  <c r="AM76" i="18"/>
  <c r="N56" i="18"/>
  <c r="S97" i="18" l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AJ146" i="18"/>
  <c r="AJ147" i="18" s="1"/>
  <c r="Q116" i="18"/>
  <c r="M106" i="18"/>
  <c r="N106" i="18" s="1"/>
  <c r="N114" i="18" s="1"/>
  <c r="G290" i="20"/>
  <c r="J291" i="20"/>
  <c r="K291" i="20"/>
  <c r="I291" i="20"/>
  <c r="R140" i="18"/>
  <c r="AL74" i="18"/>
  <c r="AM75" i="18"/>
  <c r="G289" i="20" l="1"/>
  <c r="I290" i="20"/>
  <c r="K290" i="20"/>
  <c r="J290" i="20"/>
  <c r="R149" i="18"/>
  <c r="T169" i="18" s="1"/>
  <c r="AL73" i="18"/>
  <c r="AM74" i="18"/>
  <c r="N88" i="18"/>
  <c r="V112" i="18" s="1"/>
  <c r="W112" i="18" l="1"/>
  <c r="X112" i="18"/>
  <c r="V34" i="18"/>
  <c r="W34" i="18" s="1"/>
  <c r="V48" i="18"/>
  <c r="V110" i="18"/>
  <c r="V111" i="18"/>
  <c r="V108" i="18"/>
  <c r="V105" i="18"/>
  <c r="V104" i="18"/>
  <c r="V103" i="18"/>
  <c r="V109" i="18"/>
  <c r="V106" i="18"/>
  <c r="V102" i="18"/>
  <c r="V107" i="18"/>
  <c r="V99" i="18"/>
  <c r="W99" i="18" s="1"/>
  <c r="V101" i="18"/>
  <c r="V100" i="18"/>
  <c r="G288" i="20"/>
  <c r="K289" i="20"/>
  <c r="J289" i="20"/>
  <c r="I289" i="20"/>
  <c r="S128" i="18"/>
  <c r="V172" i="18"/>
  <c r="U182" i="18"/>
  <c r="V182" i="18" s="1"/>
  <c r="V98" i="18"/>
  <c r="V97" i="18"/>
  <c r="V33" i="18"/>
  <c r="W33" i="18" s="1"/>
  <c r="V47" i="18"/>
  <c r="V95" i="18"/>
  <c r="V96" i="18"/>
  <c r="V93" i="18"/>
  <c r="V92" i="18"/>
  <c r="V91" i="18"/>
  <c r="V90" i="18"/>
  <c r="V85" i="18"/>
  <c r="V87" i="18"/>
  <c r="V89" i="18"/>
  <c r="V86" i="18"/>
  <c r="V88" i="18"/>
  <c r="V94" i="18"/>
  <c r="V115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X34" i="18" l="1"/>
  <c r="W48" i="18"/>
  <c r="X48" i="18"/>
  <c r="X99" i="18"/>
  <c r="W111" i="18"/>
  <c r="X111" i="18"/>
  <c r="W110" i="18"/>
  <c r="X110" i="18"/>
  <c r="W102" i="18"/>
  <c r="X102" i="18"/>
  <c r="W104" i="18"/>
  <c r="X104" i="18"/>
  <c r="X107" i="18"/>
  <c r="W107" i="18"/>
  <c r="W106" i="18"/>
  <c r="X106" i="18"/>
  <c r="W105" i="18"/>
  <c r="X105" i="18"/>
  <c r="W103" i="18"/>
  <c r="X103" i="18"/>
  <c r="W109" i="18"/>
  <c r="X109" i="18"/>
  <c r="W108" i="18"/>
  <c r="X108" i="18"/>
  <c r="W100" i="18"/>
  <c r="X100" i="18"/>
  <c r="W101" i="18"/>
  <c r="X101" i="18"/>
  <c r="X33" i="18"/>
  <c r="G287" i="20"/>
  <c r="J288" i="20"/>
  <c r="K288" i="20"/>
  <c r="I288" i="20"/>
  <c r="W97" i="18"/>
  <c r="X97" i="18"/>
  <c r="W98" i="18"/>
  <c r="X98" i="18"/>
  <c r="W47" i="18"/>
  <c r="X47" i="18"/>
  <c r="W96" i="18"/>
  <c r="X96" i="18"/>
  <c r="W95" i="18"/>
  <c r="X95" i="18"/>
  <c r="X92" i="18"/>
  <c r="W92" i="18"/>
  <c r="W93" i="18"/>
  <c r="X93" i="18"/>
  <c r="W90" i="18"/>
  <c r="X90" i="18"/>
  <c r="W91" i="18"/>
  <c r="X91" i="18"/>
  <c r="W115" i="18"/>
  <c r="X115" i="18"/>
  <c r="W86" i="18"/>
  <c r="X86" i="18"/>
  <c r="W89" i="18"/>
  <c r="X89" i="18"/>
  <c r="X94" i="18"/>
  <c r="W94" i="18"/>
  <c r="W87" i="18"/>
  <c r="X87" i="18"/>
  <c r="W88" i="18"/>
  <c r="X88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7" i="18"/>
  <c r="N65" i="18"/>
  <c r="S126" i="18"/>
  <c r="U126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7" i="18"/>
  <c r="V127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8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9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8" i="18" s="1"/>
  <c r="F24" i="18" s="1"/>
  <c r="L69" i="18" l="1"/>
  <c r="E33" i="13"/>
  <c r="G34" i="13"/>
  <c r="I97" i="20"/>
  <c r="K97" i="20"/>
  <c r="J97" i="20"/>
  <c r="F108" i="15"/>
  <c r="C20" i="18"/>
  <c r="G20" i="14"/>
  <c r="G21" i="14"/>
  <c r="L7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6" i="18" l="1"/>
  <c r="U128" i="18"/>
  <c r="V128" i="18" s="1"/>
</calcChain>
</file>

<file path=xl/sharedStrings.xml><?xml version="1.0" encoding="utf-8"?>
<sst xmlns="http://schemas.openxmlformats.org/spreadsheetml/2006/main" count="10571" uniqueCount="4775">
  <si>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</si>
  <si>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</si>
  <si>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</si>
  <si>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</si>
  <si>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</si>
  <si>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</si>
  <si>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</si>
  <si>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</si>
  <si>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</si>
  <si>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</si>
  <si>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</si>
  <si>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</si>
  <si>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</si>
  <si>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</si>
  <si>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</si>
  <si>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</si>
  <si>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</si>
  <si>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</si>
  <si>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</si>
  <si>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</si>
  <si>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</si>
  <si>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</si>
  <si>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</si>
  <si>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</si>
  <si>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</si>
  <si>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</si>
  <si>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</si>
  <si>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</si>
  <si>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</si>
  <si>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</si>
  <si>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</si>
  <si>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</si>
  <si>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</si>
  <si>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</si>
  <si>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</si>
  <si>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</si>
  <si>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</si>
  <si>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</si>
  <si>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</si>
  <si>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</si>
  <si>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</si>
  <si>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</si>
  <si>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</si>
  <si>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</si>
  <si>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</si>
  <si>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</si>
  <si>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</si>
  <si>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</si>
  <si>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</si>
  <si>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</si>
  <si>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</si>
  <si>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</si>
  <si>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</si>
  <si>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</si>
  <si>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</si>
  <si>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</si>
  <si>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</si>
  <si>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</si>
  <si>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</si>
  <si>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</si>
  <si>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</si>
  <si>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</si>
  <si>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</si>
  <si>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</si>
  <si>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</si>
  <si>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</si>
  <si>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</si>
  <si>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</si>
  <si>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</si>
  <si>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</si>
  <si>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</si>
  <si>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</si>
  <si>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</si>
  <si>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</si>
  <si>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</si>
  <si>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</si>
  <si>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</si>
  <si>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</si>
  <si>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</si>
  <si>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</si>
  <si>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</si>
  <si>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</si>
  <si>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</si>
  <si>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</si>
  <si>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</si>
  <si>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</si>
  <si>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</si>
  <si>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</si>
  <si>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</si>
  <si>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</si>
  <si>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</si>
  <si>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</si>
  <si>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</si>
  <si>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</si>
  <si>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</si>
  <si>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</si>
  <si>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</si>
  <si>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</si>
  <si>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</si>
  <si>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</si>
  <si>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</si>
  <si>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</si>
  <si>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</si>
  <si>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</si>
  <si>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</si>
  <si>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</si>
  <si>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</si>
  <si>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</si>
  <si>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</si>
  <si>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</si>
  <si>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</si>
  <si>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</si>
  <si>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</si>
  <si>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</si>
  <si>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</si>
  <si>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</si>
  <si>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</si>
  <si>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</si>
  <si>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</si>
  <si>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</si>
  <si>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</si>
  <si>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</si>
  <si>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</si>
  <si>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</si>
  <si>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</si>
  <si>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</si>
  <si>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</si>
  <si>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</si>
  <si>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</si>
  <si>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</si>
  <si>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</si>
  <si>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</si>
  <si>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</si>
  <si>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</si>
  <si>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</si>
  <si>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</si>
  <si>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</si>
  <si>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</si>
  <si>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</si>
  <si>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</si>
  <si>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</si>
  <si>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</si>
  <si>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</si>
  <si>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</si>
  <si>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</si>
  <si>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</si>
  <si>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</si>
  <si>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</si>
  <si>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</si>
  <si>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</si>
  <si>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</si>
  <si>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</si>
  <si>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</si>
  <si>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</si>
  <si>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</si>
  <si>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</si>
  <si>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</si>
  <si>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</si>
  <si>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</si>
  <si>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</si>
  <si>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</si>
  <si>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</si>
  <si>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</si>
  <si>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</si>
  <si>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</si>
  <si>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</si>
  <si>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</si>
  <si>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</si>
  <si>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</si>
  <si>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</si>
  <si>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</si>
  <si>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</si>
  <si>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</si>
  <si>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</si>
  <si>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</si>
  <si>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</si>
  <si>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</si>
  <si>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</si>
  <si>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</si>
  <si>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</si>
  <si>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</si>
  <si>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</si>
  <si>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</si>
  <si>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</si>
  <si>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</si>
  <si>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</si>
  <si>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</si>
  <si>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</si>
  <si>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</si>
  <si>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</si>
  <si>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</si>
  <si>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</si>
  <si>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</si>
  <si>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</si>
  <si>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</si>
  <si>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</si>
  <si>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</si>
  <si>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</si>
  <si>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</si>
  <si>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</si>
  <si>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</si>
  <si>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</si>
  <si>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</si>
  <si>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</si>
  <si>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</si>
  <si>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</si>
  <si>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</si>
  <si>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</si>
  <si>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</si>
  <si>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</si>
  <si>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</si>
  <si>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</si>
  <si>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</si>
  <si>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</si>
  <si>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</si>
  <si>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</si>
  <si>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</si>
  <si>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</si>
  <si>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</si>
  <si>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</si>
  <si>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</si>
  <si>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</si>
  <si>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</si>
  <si>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</si>
  <si>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</si>
  <si>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</si>
  <si>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</si>
  <si>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</si>
  <si>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</si>
  <si>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</si>
  <si>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</si>
  <si>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</si>
  <si>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</si>
  <si>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</si>
  <si>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</si>
  <si>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</si>
  <si>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</si>
  <si>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</si>
  <si>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</si>
  <si>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</si>
  <si>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</si>
  <si>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</si>
  <si>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</si>
  <si>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</si>
  <si>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</si>
  <si>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</si>
  <si>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</si>
  <si>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</si>
  <si>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</si>
  <si>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</si>
  <si>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</si>
  <si>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</si>
  <si>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</si>
  <si>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</si>
  <si>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</si>
  <si>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</si>
  <si>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</si>
  <si>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</si>
  <si>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</si>
  <si>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</si>
  <si>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</si>
  <si>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</si>
  <si>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</si>
  <si>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</si>
  <si>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</si>
  <si>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</si>
  <si>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</si>
  <si>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</si>
  <si>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</si>
  <si>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</si>
  <si>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</si>
  <si>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</si>
  <si>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</si>
  <si>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</si>
  <si>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</si>
  <si>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</si>
  <si>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</si>
  <si>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</si>
  <si>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</si>
  <si>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</si>
  <si>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</si>
  <si>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</si>
  <si>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</si>
  <si>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</si>
  <si>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</si>
  <si>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</si>
  <si>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</si>
  <si>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</si>
  <si>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</si>
  <si>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</si>
  <si>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</si>
  <si>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</si>
  <si>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</si>
  <si>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</si>
  <si>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</si>
  <si>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</si>
  <si>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</si>
  <si>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</si>
  <si>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</si>
  <si>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</si>
  <si>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</si>
  <si>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</si>
  <si>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</si>
  <si>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</si>
  <si>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</si>
  <si>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</si>
  <si>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</si>
  <si>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</si>
  <si>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</si>
  <si>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</si>
  <si>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</si>
  <si>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</si>
  <si>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</si>
  <si>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</si>
  <si>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</si>
  <si>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</si>
  <si>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</si>
  <si>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</si>
  <si>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</si>
  <si>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</si>
  <si>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</si>
  <si>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</si>
  <si>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</si>
  <si>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</si>
  <si>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</si>
  <si>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</si>
  <si>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</si>
  <si>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</si>
  <si>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</si>
  <si>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</si>
  <si>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</si>
  <si>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</si>
  <si>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</si>
  <si>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</si>
  <si>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</si>
  <si>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</si>
  <si>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</si>
  <si>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</si>
  <si>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</si>
  <si>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</si>
  <si>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</si>
  <si>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</si>
  <si>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</si>
  <si>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</si>
  <si>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</si>
  <si>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</si>
  <si>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</si>
  <si>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</si>
  <si>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</si>
  <si>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</si>
  <si>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</si>
  <si>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</si>
  <si>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</si>
  <si>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</si>
  <si>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</si>
  <si>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</si>
  <si>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</si>
  <si>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</si>
  <si>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</si>
  <si>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</si>
  <si>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</si>
  <si>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</si>
  <si>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</si>
  <si>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</si>
  <si>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</si>
  <si>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</si>
  <si>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</si>
  <si>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</si>
  <si>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</si>
  <si>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</si>
  <si>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</si>
  <si>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</si>
  <si>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</si>
  <si>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</si>
  <si>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</si>
  <si>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</si>
  <si>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</si>
  <si>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</si>
  <si>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</si>
  <si>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</si>
  <si>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</si>
  <si>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</si>
  <si>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</si>
  <si>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</si>
  <si>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</si>
  <si>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</si>
  <si>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</si>
  <si>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</si>
  <si>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</si>
  <si>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</si>
  <si>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</si>
  <si>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</si>
  <si>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</si>
  <si>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</si>
  <si>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</si>
  <si>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</si>
  <si>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</si>
  <si>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</si>
  <si>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</si>
  <si>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</si>
  <si>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</si>
  <si>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</si>
  <si>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</si>
  <si>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</si>
  <si>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</si>
  <si>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</si>
  <si>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</si>
  <si>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</si>
  <si>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</si>
  <si>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</si>
  <si>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</si>
  <si>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</si>
  <si>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</si>
  <si>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</si>
  <si>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</si>
  <si>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</si>
  <si>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</si>
  <si>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</si>
  <si>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</si>
  <si>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</si>
  <si>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</si>
  <si>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</si>
  <si>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</si>
  <si>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</si>
  <si>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</si>
  <si>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</si>
  <si>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</si>
  <si>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</si>
  <si>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</si>
  <si>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</si>
  <si>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</si>
  <si>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</si>
  <si>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</si>
  <si>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</si>
  <si>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</si>
  <si>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</si>
  <si>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</si>
  <si>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</si>
  <si>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</si>
  <si>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</si>
  <si>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</si>
  <si>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</si>
  <si>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</si>
  <si>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</si>
  <si>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</si>
  <si>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</si>
  <si>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</si>
  <si>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</si>
  <si>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</si>
  <si>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</si>
  <si>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</si>
  <si>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</si>
  <si>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</si>
  <si>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</si>
  <si>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</si>
  <si>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</si>
  <si>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</si>
  <si>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</si>
  <si>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</si>
  <si>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</si>
  <si>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</si>
  <si>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</si>
  <si>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</si>
  <si>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</si>
  <si>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</si>
  <si>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</si>
  <si>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</si>
  <si>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</si>
  <si>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</si>
  <si>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</si>
  <si>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</si>
  <si>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</si>
  <si>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</si>
  <si>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</si>
  <si>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</si>
  <si>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</si>
  <si>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</si>
  <si>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</si>
  <si>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</si>
  <si>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</si>
  <si>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</si>
  <si>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</si>
  <si>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</si>
  <si>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</si>
  <si>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</si>
  <si>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</si>
  <si>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</si>
  <si>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</si>
  <si>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</si>
  <si>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</si>
  <si>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</si>
  <si>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</si>
  <si>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</si>
  <si>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</si>
  <si>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</si>
  <si>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</si>
  <si>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</si>
  <si>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</si>
  <si>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</si>
  <si>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</si>
  <si>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</si>
  <si>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</si>
  <si>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</si>
  <si>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</si>
  <si>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</si>
  <si>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</si>
  <si>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</si>
  <si>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</si>
  <si>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</si>
  <si>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</si>
  <si>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</si>
  <si>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</si>
  <si>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</si>
  <si>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</si>
  <si>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</si>
  <si>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</si>
  <si>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</si>
  <si>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</si>
  <si>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</si>
  <si>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</si>
  <si>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</si>
  <si>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</si>
  <si>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</si>
  <si>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</si>
  <si>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</si>
  <si>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</si>
  <si>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</si>
  <si>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</si>
  <si>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</si>
  <si>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</si>
  <si>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</si>
  <si>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</si>
  <si>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</si>
  <si>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</si>
  <si>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</si>
  <si>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</si>
  <si>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</si>
  <si>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</si>
  <si>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</si>
  <si>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</si>
  <si>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</si>
  <si>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</si>
  <si>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</si>
  <si>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</si>
  <si>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</si>
  <si>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</si>
  <si>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</si>
  <si>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</si>
  <si>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</si>
  <si>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</si>
  <si>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</si>
  <si>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</si>
  <si>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</si>
  <si>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</si>
  <si>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</si>
  <si>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</si>
  <si>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</si>
  <si>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</si>
  <si>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</si>
  <si>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</si>
  <si>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</si>
  <si>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</si>
  <si>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</si>
  <si>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</si>
  <si>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</si>
  <si>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</si>
  <si>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</si>
  <si>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</si>
  <si>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</si>
  <si>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</si>
  <si>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</si>
  <si>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</si>
  <si>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</si>
  <si>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</si>
  <si>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</si>
  <si>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</si>
  <si>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</si>
  <si>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</si>
  <si>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</si>
  <si>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</si>
  <si>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</si>
  <si>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</si>
  <si>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</si>
  <si>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</si>
  <si>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</si>
  <si>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</si>
  <si>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</si>
  <si>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</si>
  <si>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</si>
  <si>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</si>
  <si>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</si>
  <si>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</si>
  <si>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</si>
  <si>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</si>
  <si>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</si>
  <si>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</si>
  <si>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</si>
  <si>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</si>
  <si>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</si>
  <si>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</si>
  <si>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</si>
  <si>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</si>
  <si>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</si>
  <si>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</si>
  <si>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</si>
  <si>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</si>
  <si>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</si>
  <si>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</si>
  <si>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</si>
  <si>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</si>
  <si>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</si>
  <si>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</si>
  <si>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</si>
  <si>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</si>
  <si>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</si>
  <si>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</si>
  <si>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</si>
  <si>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</si>
  <si>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</si>
  <si>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</si>
  <si>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</si>
  <si>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</si>
  <si>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</si>
  <si>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</si>
  <si>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</si>
  <si>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</si>
  <si>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</si>
  <si>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</si>
  <si>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</si>
  <si>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</si>
  <si>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</si>
  <si>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</si>
  <si>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</si>
  <si>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</si>
  <si>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</si>
  <si>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</si>
  <si>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</si>
  <si>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</si>
  <si>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</si>
  <si>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</si>
  <si>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</si>
  <si>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</si>
  <si>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</si>
  <si>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</si>
  <si>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</si>
  <si>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</si>
  <si>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</si>
  <si>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</si>
  <si>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</si>
  <si>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</si>
  <si>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</si>
  <si>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</si>
  <si>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</si>
  <si>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</si>
  <si>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</si>
  <si>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</si>
  <si>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</si>
  <si>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</si>
  <si>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</si>
  <si>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</si>
  <si>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</si>
  <si>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</si>
  <si>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</si>
  <si>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</si>
  <si>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</si>
  <si>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</si>
  <si>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</si>
  <si>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</si>
  <si>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</si>
  <si>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</si>
  <si>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</si>
  <si>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</si>
  <si>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</si>
  <si>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</si>
  <si>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</si>
  <si>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</si>
  <si>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</si>
  <si>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</si>
  <si>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</si>
  <si>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</si>
  <si>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</si>
  <si>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</si>
  <si>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</si>
  <si>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</si>
  <si>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</si>
  <si>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</si>
  <si>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</si>
  <si>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</si>
  <si>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</si>
  <si>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</si>
  <si>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</si>
  <si>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</si>
  <si>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</si>
  <si>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</si>
  <si>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</si>
  <si>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</si>
  <si>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</si>
  <si>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</si>
  <si>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</si>
  <si>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</si>
  <si>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</si>
  <si>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</si>
  <si>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</si>
  <si>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</si>
  <si>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</si>
  <si>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</si>
  <si>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</si>
  <si>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</si>
  <si>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</si>
  <si>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</si>
  <si>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</si>
  <si>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</si>
  <si>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</si>
  <si>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</si>
  <si>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</si>
  <si>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</si>
  <si>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</si>
  <si>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</si>
  <si>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</si>
  <si>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</si>
  <si>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</si>
  <si>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</si>
  <si>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</si>
  <si>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</si>
  <si>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</si>
  <si>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</si>
  <si>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</si>
  <si>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</si>
  <si>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</si>
  <si>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</si>
  <si>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</si>
  <si>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</si>
  <si>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</si>
  <si>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</si>
  <si>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</si>
  <si>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</si>
  <si>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</si>
  <si>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</si>
  <si>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</si>
  <si>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</si>
  <si>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</si>
  <si>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</si>
  <si>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</si>
  <si>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</si>
  <si>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</si>
  <si>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</si>
  <si>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</si>
  <si>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</si>
  <si>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</si>
  <si>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</si>
  <si>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</si>
  <si>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</si>
  <si>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</si>
  <si>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</si>
  <si>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</si>
  <si>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</si>
  <si>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</si>
  <si>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</si>
  <si>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</si>
  <si>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</si>
  <si>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</si>
  <si>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</si>
  <si>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</si>
  <si>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</si>
  <si>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</si>
  <si>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</si>
  <si>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</si>
  <si>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</si>
  <si>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</si>
  <si>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</si>
  <si>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</si>
  <si>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</si>
  <si>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</si>
  <si>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</si>
  <si>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</si>
  <si>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</si>
  <si>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</si>
  <si>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</si>
  <si>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</si>
  <si>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</si>
  <si>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</si>
  <si>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</si>
  <si>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</si>
  <si>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</si>
  <si>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</si>
  <si>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</si>
  <si>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</si>
  <si>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</si>
  <si>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</si>
  <si>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</si>
  <si>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</si>
  <si>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</si>
  <si>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</si>
  <si>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</si>
  <si>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</si>
  <si>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</si>
  <si>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</si>
  <si>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</si>
  <si>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</si>
  <si>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</si>
  <si>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</si>
  <si>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</si>
  <si>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</si>
  <si>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</si>
  <si>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</si>
  <si>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</si>
  <si>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</si>
  <si>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</si>
  <si>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</si>
  <si>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</si>
  <si>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</si>
  <si>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</si>
  <si>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</si>
  <si>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</si>
  <si>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</si>
  <si>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</si>
  <si>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</si>
  <si>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</si>
  <si>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</si>
  <si>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</si>
  <si>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</si>
  <si>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</si>
  <si>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</si>
  <si>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</si>
  <si>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</si>
  <si>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</si>
  <si>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</si>
  <si>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</si>
  <si>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</si>
  <si>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</si>
  <si>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</si>
  <si>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</si>
  <si>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</si>
  <si>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</si>
  <si>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</si>
  <si>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</si>
  <si>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</si>
  <si>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</si>
  <si>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</si>
  <si>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</si>
  <si>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</si>
  <si>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</si>
  <si>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</si>
  <si>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</si>
  <si>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</si>
  <si>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</si>
  <si>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</si>
  <si>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</si>
  <si>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</si>
  <si>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</si>
  <si>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</si>
  <si>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</si>
  <si>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</si>
  <si>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</si>
  <si>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</si>
  <si>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</si>
  <si>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</si>
  <si>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</si>
  <si>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</si>
  <si>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</si>
  <si>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</si>
  <si>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</si>
  <si>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</si>
  <si>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</si>
  <si>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</si>
  <si>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</si>
  <si>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</si>
  <si>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</si>
  <si>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</si>
  <si>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</si>
  <si>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</si>
  <si>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</si>
  <si>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</si>
  <si>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</si>
  <si>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</si>
  <si>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</si>
  <si>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</si>
  <si>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</si>
  <si>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</si>
  <si>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</si>
  <si>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</si>
  <si>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</si>
  <si>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</si>
  <si>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</si>
  <si>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</si>
  <si>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</si>
  <si>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</si>
  <si>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</si>
  <si>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</si>
  <si>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</si>
  <si>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</si>
  <si>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</si>
  <si>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</si>
  <si>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</si>
  <si>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</si>
  <si>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</si>
  <si>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</si>
  <si>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</si>
  <si>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</si>
  <si>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</si>
  <si>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</si>
  <si>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</si>
  <si>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</si>
  <si>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</si>
  <si>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</si>
  <si>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</si>
  <si>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</si>
  <si>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</si>
  <si>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</si>
  <si>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</si>
  <si>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</si>
  <si>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</si>
  <si>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</si>
  <si>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</si>
  <si>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</si>
  <si>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</si>
  <si>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</si>
  <si>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</si>
  <si>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</si>
  <si>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</si>
  <si>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</si>
  <si>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</si>
  <si>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</si>
  <si>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</si>
  <si>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</si>
  <si>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</si>
  <si>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</si>
  <si>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</si>
  <si>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</si>
  <si>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</si>
  <si>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</si>
  <si>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</si>
  <si>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</si>
  <si>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</si>
  <si>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</si>
  <si>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</si>
  <si>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</si>
  <si>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</si>
  <si>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</si>
  <si>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</si>
  <si>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</si>
  <si>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</si>
  <si>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</si>
  <si>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</si>
  <si>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</si>
  <si>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</si>
  <si>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</si>
  <si>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</si>
  <si>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</si>
  <si>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</si>
  <si>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</si>
  <si>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</si>
  <si>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</si>
  <si>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</si>
  <si>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</si>
  <si>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</si>
  <si>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</si>
  <si>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</si>
  <si>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</si>
  <si>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</si>
  <si>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</si>
  <si>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</si>
  <si>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</si>
  <si>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</si>
  <si>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</si>
  <si>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</si>
  <si>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</si>
  <si>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</si>
  <si>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</si>
  <si>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</si>
  <si>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</si>
  <si>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</si>
  <si>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</si>
  <si>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</si>
  <si>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</si>
  <si>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</si>
  <si>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</si>
  <si>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</si>
  <si>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</si>
  <si>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</si>
  <si>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</si>
  <si>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</si>
  <si>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</si>
  <si>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</si>
  <si>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</si>
  <si>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</si>
  <si>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</si>
  <si>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</si>
  <si>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</si>
  <si>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</si>
  <si>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</si>
  <si>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</si>
  <si>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</si>
  <si>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</si>
  <si>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</si>
  <si>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</si>
  <si>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</si>
  <si>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</si>
  <si>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</si>
  <si>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</si>
  <si>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</si>
  <si>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</si>
  <si>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</si>
  <si>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</si>
  <si>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</si>
  <si>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</si>
  <si>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</si>
  <si>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</si>
  <si>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</si>
  <si>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</si>
  <si>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</si>
  <si>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</si>
  <si>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</si>
  <si>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</si>
  <si>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</si>
  <si>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</si>
  <si>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</si>
  <si>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</si>
  <si>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</si>
  <si>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</si>
  <si>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</si>
  <si>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</si>
  <si>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</si>
  <si>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</si>
  <si>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</si>
  <si>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</si>
  <si>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</si>
  <si>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</si>
  <si>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</si>
  <si>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</si>
  <si>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</si>
  <si>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</si>
  <si>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</si>
  <si>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</si>
  <si>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</si>
  <si>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</si>
  <si>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</si>
  <si>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</si>
  <si>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</si>
  <si>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</si>
  <si>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</si>
  <si>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</si>
  <si>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</si>
  <si>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</si>
  <si>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</si>
  <si>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</si>
  <si>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</si>
  <si>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</si>
  <si>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</si>
  <si>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</si>
  <si>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</si>
  <si>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</si>
  <si>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</si>
  <si>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</si>
  <si>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</si>
  <si>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</si>
  <si>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</si>
  <si>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</si>
  <si>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</si>
  <si>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</si>
  <si>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</si>
  <si>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</si>
  <si>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</si>
  <si>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</si>
  <si>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</si>
  <si>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</si>
  <si>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</si>
  <si>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</si>
  <si>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</si>
  <si>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</si>
  <si>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</si>
  <si>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</si>
  <si>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</si>
  <si>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</si>
  <si>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</si>
  <si>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</si>
  <si>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</si>
  <si>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</si>
  <si>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</si>
  <si>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</si>
  <si>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</si>
  <si>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</si>
  <si>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</si>
  <si>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</si>
  <si>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</si>
  <si>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</si>
  <si>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</si>
  <si>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</si>
  <si>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</si>
  <si>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</si>
  <si>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</si>
  <si>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</si>
  <si>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</si>
  <si>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</si>
  <si>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</si>
  <si>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</si>
  <si>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</si>
  <si>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</si>
  <si>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</si>
  <si>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</si>
  <si>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</si>
  <si>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</si>
  <si>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</si>
  <si>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</si>
  <si>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</si>
  <si>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</si>
  <si>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</si>
  <si>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</si>
  <si>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</si>
  <si>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</si>
  <si>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</si>
  <si>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</si>
  <si>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</si>
  <si>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</si>
  <si>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</si>
  <si>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</si>
  <si>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</si>
  <si>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</si>
  <si>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</si>
  <si>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</si>
  <si>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</si>
  <si>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</si>
  <si>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</si>
  <si>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</si>
  <si>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</si>
  <si>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</si>
  <si>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</si>
  <si>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</si>
  <si>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</si>
  <si>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</si>
  <si>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</si>
  <si>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</si>
  <si>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</si>
  <si>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</si>
  <si>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</si>
  <si>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</si>
  <si>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</si>
  <si>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</si>
  <si>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</si>
  <si>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</si>
  <si>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</si>
  <si>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</si>
  <si>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</si>
  <si>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</si>
  <si>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</si>
  <si>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</si>
  <si>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</si>
  <si>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</si>
  <si>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</si>
  <si>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</si>
  <si>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</si>
  <si>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</si>
  <si>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</si>
  <si>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</si>
  <si>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</si>
  <si>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</si>
  <si>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</si>
  <si>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</si>
  <si>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</si>
  <si>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</si>
  <si>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</si>
  <si>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</si>
  <si>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</si>
  <si>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</si>
  <si>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</si>
  <si>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</si>
  <si>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</si>
  <si>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</si>
  <si>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</si>
  <si>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</si>
  <si>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</si>
  <si>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</si>
  <si>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</si>
  <si>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</si>
  <si>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</si>
  <si>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</si>
  <si>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</si>
  <si>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</si>
  <si>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</si>
  <si>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</si>
  <si>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</si>
  <si>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</si>
  <si>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</si>
  <si>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</si>
  <si>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</si>
  <si>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</si>
  <si>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</si>
  <si>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</si>
  <si>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</si>
  <si>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</si>
  <si>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</si>
  <si>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</si>
  <si>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</si>
  <si>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</si>
  <si>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</si>
  <si>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</si>
  <si>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</si>
  <si>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</si>
  <si>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</si>
  <si>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</si>
  <si>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</si>
  <si>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</si>
  <si>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</si>
  <si>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</si>
  <si>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</si>
  <si>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</si>
  <si>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</si>
  <si>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</si>
  <si>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</si>
  <si>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</si>
  <si>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</si>
  <si>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</si>
  <si>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</si>
  <si>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</si>
  <si>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</si>
  <si>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</si>
  <si>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</si>
  <si>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</si>
  <si>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</si>
  <si>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</si>
  <si>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</si>
  <si>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</si>
  <si>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</si>
  <si>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</si>
  <si>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</si>
  <si>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</si>
  <si>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</si>
  <si>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</si>
  <si>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</si>
  <si>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</si>
  <si>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</si>
  <si>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</si>
  <si>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</si>
  <si>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</si>
  <si>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</si>
  <si>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</si>
  <si>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</si>
  <si>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</si>
  <si>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</si>
  <si>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</si>
  <si>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</si>
  <si>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</si>
  <si>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</si>
  <si>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</si>
  <si>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</si>
  <si>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</si>
  <si>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</si>
  <si>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</si>
  <si>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</si>
  <si>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</si>
  <si>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</si>
  <si>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</si>
  <si>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</si>
  <si>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</si>
  <si>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</si>
  <si>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</si>
  <si>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</si>
  <si>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</si>
  <si>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</si>
  <si>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</si>
  <si>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</si>
  <si>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</si>
  <si>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</si>
  <si>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</si>
  <si>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</si>
  <si>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</si>
  <si>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</si>
  <si>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</si>
  <si>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</si>
  <si>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</si>
  <si>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</si>
  <si>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</si>
  <si>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</si>
  <si>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</si>
  <si>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</si>
  <si>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</si>
  <si>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</si>
  <si>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</si>
  <si>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</si>
  <si>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</si>
  <si>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</si>
  <si>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</si>
  <si>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</si>
  <si>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</si>
  <si>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</si>
  <si>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</si>
  <si>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</si>
  <si>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</si>
  <si>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</si>
  <si>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</si>
  <si>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</si>
  <si>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</si>
  <si>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</si>
  <si>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</si>
  <si>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</si>
  <si>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</si>
  <si>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</si>
  <si>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</si>
  <si>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</si>
  <si>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</si>
  <si>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</si>
  <si>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</si>
  <si>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</si>
  <si>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</si>
  <si>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</si>
  <si>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</si>
  <si>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</si>
  <si>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</si>
  <si>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</si>
  <si>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</si>
  <si>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</si>
  <si>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</si>
  <si>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</si>
  <si>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</si>
  <si>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</si>
  <si>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</si>
  <si>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</si>
  <si>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</si>
  <si>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</si>
  <si>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</si>
  <si>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</si>
  <si>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</si>
  <si>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</si>
  <si>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</si>
  <si>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</si>
  <si>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</si>
  <si>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</si>
  <si>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</si>
  <si>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</si>
  <si>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</si>
  <si>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</si>
  <si>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</si>
  <si>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</si>
  <si>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</si>
  <si>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</si>
  <si>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</si>
  <si>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</si>
  <si>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</si>
  <si>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</si>
  <si>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</si>
  <si>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</si>
  <si>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</si>
  <si>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</si>
  <si>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</si>
  <si>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</si>
  <si>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</si>
  <si>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</si>
  <si>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</si>
  <si>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</si>
  <si>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</si>
  <si>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</si>
  <si>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</si>
  <si>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</si>
  <si>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</si>
  <si>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</si>
  <si>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</si>
  <si>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</si>
  <si>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</si>
  <si>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</si>
  <si>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</si>
  <si>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</si>
  <si>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</si>
  <si>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</si>
  <si>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</si>
  <si>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</si>
  <si>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</si>
  <si>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</si>
  <si>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</si>
  <si>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</si>
  <si>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</si>
  <si>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</si>
  <si>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</si>
  <si>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</si>
  <si>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</si>
  <si>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</si>
  <si>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</si>
  <si>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</si>
  <si>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</si>
  <si>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</si>
  <si>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</si>
  <si>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</si>
  <si>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</si>
  <si>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</si>
  <si>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</si>
  <si>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</si>
  <si>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</si>
  <si>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</si>
  <si>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</si>
  <si>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</si>
  <si>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</si>
  <si>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</si>
  <si>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</si>
  <si>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</si>
  <si>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</si>
  <si>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</si>
  <si>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</si>
  <si>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</si>
  <si>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</si>
  <si>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</si>
  <si>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</si>
  <si>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</si>
  <si>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</si>
  <si>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</si>
  <si>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</si>
  <si>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</si>
  <si>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</si>
  <si>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</si>
  <si>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</si>
  <si>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</si>
  <si>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</si>
  <si>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</si>
  <si>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</si>
  <si>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</si>
  <si>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</si>
  <si>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</si>
  <si>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</si>
  <si>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</si>
  <si>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</si>
  <si>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</si>
  <si>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</si>
  <si>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</si>
  <si>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</si>
  <si>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</si>
  <si>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</si>
  <si>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</si>
  <si>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</si>
  <si>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</si>
  <si>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</si>
  <si>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</si>
  <si>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</si>
  <si>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</si>
  <si>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</si>
  <si>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</si>
  <si>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</si>
  <si>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</si>
  <si>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</si>
  <si>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</si>
  <si>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</si>
  <si>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</si>
  <si>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</si>
  <si>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</si>
  <si>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</si>
  <si>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</si>
  <si>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</si>
  <si>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</si>
  <si>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</si>
  <si>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</si>
  <si>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</si>
  <si>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</si>
  <si>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</si>
  <si>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</si>
  <si>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</si>
  <si>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</si>
  <si>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</si>
  <si>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</si>
  <si>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</si>
  <si>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</si>
  <si>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</si>
  <si>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</si>
  <si>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</si>
  <si>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</si>
  <si>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</si>
  <si>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</si>
  <si>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</si>
  <si>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</si>
  <si>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</si>
  <si>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</si>
  <si>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</si>
  <si>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</si>
  <si>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</si>
  <si>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</si>
  <si>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</si>
  <si>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</si>
  <si>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</si>
  <si>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</si>
  <si>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</si>
  <si>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</si>
  <si>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</si>
  <si>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</si>
  <si>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</si>
  <si>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</si>
  <si>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</si>
  <si>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</si>
  <si>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</si>
  <si>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</si>
  <si>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</si>
  <si>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</si>
  <si>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</si>
  <si>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</si>
  <si>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</si>
  <si>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</si>
  <si>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</si>
  <si>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</si>
  <si>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</si>
  <si>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</si>
  <si>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</si>
  <si>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</si>
  <si>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</si>
  <si>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</si>
  <si>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</si>
  <si>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</si>
  <si>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</si>
  <si>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</si>
  <si>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</si>
  <si>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</si>
  <si>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</si>
  <si>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</si>
  <si>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</si>
  <si>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</si>
  <si>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</si>
  <si>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</si>
  <si>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</si>
  <si>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</si>
  <si>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</si>
  <si>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</si>
  <si>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</si>
  <si>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</si>
  <si>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</si>
  <si>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</si>
  <si>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</si>
  <si>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</si>
  <si>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</si>
  <si>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</si>
  <si>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</si>
  <si>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</si>
  <si>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</si>
  <si>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</si>
  <si>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</si>
  <si>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</si>
  <si>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</si>
  <si>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</si>
  <si>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</si>
  <si>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</si>
  <si>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</si>
  <si>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</si>
  <si>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</si>
  <si>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</si>
  <si>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</si>
  <si>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</si>
  <si>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</si>
  <si>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</si>
  <si>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</si>
  <si>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</si>
  <si>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</si>
  <si>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</si>
  <si>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</si>
  <si>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</si>
  <si>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</si>
  <si>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</si>
  <si>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</si>
  <si>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</si>
  <si>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</si>
  <si>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</si>
  <si>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</si>
  <si>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</si>
  <si>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</si>
  <si>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</si>
  <si>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</si>
  <si>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</si>
  <si>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</si>
  <si>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</si>
  <si>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</si>
  <si>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</si>
  <si>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</si>
  <si>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</si>
  <si>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</si>
  <si>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</si>
  <si>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</si>
  <si>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</si>
  <si>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</si>
  <si>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</si>
  <si>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</si>
  <si>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</si>
  <si>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</si>
  <si>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</si>
  <si>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</si>
  <si>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</si>
  <si>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</si>
  <si>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</si>
  <si>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</si>
  <si>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</si>
  <si>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</si>
  <si>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</si>
  <si>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</si>
  <si>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</si>
  <si>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</si>
  <si>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</si>
  <si>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</si>
  <si>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</si>
  <si>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</si>
  <si>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</si>
  <si>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</si>
  <si>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</si>
  <si>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</si>
  <si>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</si>
  <si>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</si>
  <si>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</si>
  <si>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</si>
  <si>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</si>
  <si>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</si>
  <si>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</si>
  <si>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</si>
  <si>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</si>
  <si>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</si>
  <si>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</si>
  <si>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</si>
  <si>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</si>
  <si>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</si>
  <si>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</si>
  <si>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</si>
  <si>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</si>
  <si>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</si>
  <si>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</si>
  <si>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</si>
  <si>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</si>
  <si>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</si>
  <si>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</si>
  <si>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</si>
  <si>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</si>
  <si>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</si>
  <si>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</si>
  <si>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</si>
  <si>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</si>
  <si>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</si>
  <si>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</si>
  <si>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</si>
  <si>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</si>
  <si>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</si>
  <si>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</si>
  <si>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</si>
  <si>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</si>
  <si>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</si>
  <si>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</si>
  <si>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</si>
  <si>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</si>
  <si>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</si>
  <si>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</si>
  <si>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</si>
  <si>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</si>
  <si>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</si>
  <si>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</si>
  <si>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</si>
  <si>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</si>
  <si>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</si>
  <si>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</si>
  <si>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</si>
  <si>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</si>
  <si>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</si>
  <si>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</si>
  <si>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</si>
  <si>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</si>
  <si>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</si>
  <si>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</si>
  <si>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</si>
  <si>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</si>
  <si>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</si>
  <si>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</si>
  <si>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</si>
  <si>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</si>
  <si>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</si>
  <si>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</si>
  <si>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</si>
  <si>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</si>
  <si>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</si>
  <si>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</si>
  <si>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</si>
  <si>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</si>
  <si>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</si>
  <si>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</si>
  <si>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</si>
  <si>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</si>
  <si>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</si>
  <si>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</si>
  <si>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</si>
  <si>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</si>
  <si>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</si>
  <si>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</si>
  <si>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</si>
  <si>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</si>
  <si>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</si>
  <si>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</si>
  <si>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</si>
  <si>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</si>
  <si>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</si>
  <si>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</si>
  <si>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</si>
  <si>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</si>
  <si>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</si>
  <si>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</si>
  <si>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</si>
  <si>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</si>
  <si>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</si>
  <si>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</si>
  <si>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</si>
  <si>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</si>
  <si>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</si>
  <si>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</si>
  <si>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</si>
  <si>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</si>
  <si>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</si>
  <si>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</si>
  <si>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</si>
  <si>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</si>
  <si>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</si>
  <si>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</si>
  <si>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</si>
  <si>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</si>
  <si>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</si>
  <si>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</si>
  <si>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</si>
  <si>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</si>
  <si>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</si>
  <si>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</si>
  <si>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</si>
  <si>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</si>
  <si>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</si>
  <si>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</si>
  <si>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</si>
  <si>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</si>
  <si>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</si>
  <si>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</si>
  <si>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</si>
  <si>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</si>
  <si>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</si>
  <si>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</si>
  <si>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</si>
  <si>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</si>
  <si>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</si>
  <si>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</si>
  <si>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</si>
  <si>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</si>
  <si>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</si>
  <si>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</si>
  <si>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</si>
  <si>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</si>
  <si>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</si>
  <si>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</si>
  <si>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</si>
  <si>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</si>
  <si>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</si>
  <si>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</si>
  <si>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</si>
  <si>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</si>
  <si>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</si>
  <si>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</si>
  <si>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</si>
  <si>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</si>
  <si>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</si>
  <si>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</si>
  <si>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</si>
  <si>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</si>
  <si>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</si>
  <si>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</si>
  <si>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</si>
  <si>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</si>
  <si>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</si>
  <si>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</si>
  <si>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</si>
  <si>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</si>
  <si>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</si>
  <si>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</si>
  <si>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</si>
  <si>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</si>
  <si>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</si>
  <si>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</si>
  <si>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</si>
  <si>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</si>
  <si>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</si>
  <si>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</si>
  <si>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</si>
  <si>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</si>
  <si>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</si>
  <si>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</si>
  <si>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</si>
  <si>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</si>
  <si>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</si>
  <si>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</si>
  <si>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</si>
  <si>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</si>
  <si>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</si>
  <si>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</si>
  <si>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</si>
  <si>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</si>
  <si>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</si>
  <si>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</si>
  <si>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</si>
  <si>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</si>
  <si>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</si>
  <si>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</si>
  <si>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</si>
  <si>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</si>
  <si>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</si>
  <si>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</si>
  <si>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</si>
  <si>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</si>
  <si>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</si>
  <si>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</si>
  <si>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</si>
  <si>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</si>
  <si>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</si>
  <si>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</si>
  <si>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</si>
  <si>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</si>
  <si>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</si>
  <si>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</si>
  <si>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</si>
  <si>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</si>
  <si>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</si>
  <si>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</si>
  <si>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</si>
  <si>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</si>
  <si>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</si>
  <si>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</si>
  <si>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</si>
  <si>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</si>
  <si>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</si>
  <si>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</si>
  <si>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</si>
  <si>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</si>
  <si>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</si>
  <si>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</si>
  <si>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</si>
  <si>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</si>
  <si>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</si>
  <si>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</si>
  <si>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</si>
  <si>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</si>
  <si>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</si>
  <si>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</si>
  <si>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</si>
  <si>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</si>
  <si>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</si>
  <si>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</si>
  <si>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</si>
  <si>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</si>
  <si>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</si>
  <si>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</si>
  <si>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</si>
  <si>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</si>
  <si>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</si>
  <si>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</si>
  <si>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</si>
  <si>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</si>
  <si>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</si>
  <si>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</si>
  <si>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</si>
  <si>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</si>
  <si>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</si>
  <si>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</si>
  <si>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</si>
  <si>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</si>
  <si>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</si>
  <si>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</si>
  <si>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</si>
  <si>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</si>
  <si>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</si>
  <si>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</si>
  <si>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</si>
  <si>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</si>
  <si>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</si>
  <si>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</si>
  <si>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</si>
  <si>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</si>
  <si>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</si>
  <si>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</si>
  <si>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</si>
  <si>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</si>
  <si>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</si>
  <si>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</si>
  <si>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</si>
  <si>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</si>
  <si>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</si>
  <si>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</si>
  <si>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</si>
  <si>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</si>
  <si>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</si>
  <si>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</si>
  <si>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</si>
  <si>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</si>
  <si>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</si>
  <si>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</si>
  <si>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</si>
  <si>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</si>
  <si>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</si>
  <si>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</si>
  <si>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</si>
  <si>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</si>
  <si>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</si>
  <si>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</si>
  <si>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</si>
  <si>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</si>
  <si>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</si>
  <si>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</si>
  <si>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</si>
  <si>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</si>
  <si>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</si>
  <si>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</si>
  <si>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</si>
  <si>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</si>
  <si>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</si>
  <si>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</si>
  <si>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</si>
  <si>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</si>
  <si>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</si>
  <si>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</si>
  <si>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</si>
  <si>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</si>
  <si>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</si>
  <si>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</si>
  <si>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</si>
  <si>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</si>
  <si>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</si>
  <si>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</si>
  <si>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</si>
  <si>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</si>
  <si>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</si>
  <si>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</si>
  <si>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</si>
  <si>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</si>
  <si>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</si>
  <si>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</si>
  <si>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</si>
  <si>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</si>
  <si>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</si>
  <si>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</si>
  <si>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</si>
  <si>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</si>
  <si>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</si>
  <si>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</si>
  <si>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</si>
  <si>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</si>
  <si>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</si>
  <si>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</si>
  <si>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</si>
  <si>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</si>
  <si>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</si>
  <si>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</si>
  <si>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</si>
  <si>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</si>
  <si>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</si>
  <si>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</si>
  <si>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</si>
  <si>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</si>
  <si>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</si>
  <si>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</si>
  <si>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</si>
  <si>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</si>
  <si>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</si>
  <si>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</si>
  <si>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</si>
  <si>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</si>
  <si>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</si>
  <si>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</si>
  <si>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</si>
  <si>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</si>
  <si>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</si>
  <si>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</si>
  <si>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</si>
  <si>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</si>
  <si>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</si>
  <si>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</si>
  <si>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</si>
  <si>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</si>
  <si>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</si>
  <si>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</si>
  <si>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</si>
  <si>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</si>
  <si>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</si>
  <si>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</si>
  <si>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</si>
  <si>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</si>
  <si>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</si>
  <si>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</si>
  <si>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</si>
  <si>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</si>
  <si>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</si>
  <si>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</si>
  <si>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</si>
  <si>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</si>
  <si>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</si>
  <si>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</si>
  <si>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</si>
  <si>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</si>
  <si>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</si>
  <si>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</si>
  <si>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</si>
  <si>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</si>
  <si>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</si>
  <si>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</si>
  <si>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</si>
  <si>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</si>
  <si>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</si>
  <si>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</si>
  <si>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</si>
  <si>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</si>
  <si>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</si>
  <si>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</si>
  <si>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</si>
  <si>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</si>
  <si>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</si>
  <si>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</si>
  <si>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</si>
  <si>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</si>
  <si>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</si>
  <si>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</si>
  <si>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</si>
  <si>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</si>
  <si>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</si>
  <si>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</si>
  <si>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</si>
  <si>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</si>
  <si>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</si>
  <si>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</si>
  <si>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</si>
  <si>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</si>
  <si>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</si>
  <si>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</si>
  <si>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</si>
  <si>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</si>
  <si>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</si>
  <si>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</si>
  <si>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</si>
  <si>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</si>
  <si>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</si>
  <si>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</si>
  <si>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</si>
  <si>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</si>
  <si>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</si>
  <si>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</si>
  <si>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</si>
  <si>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</si>
  <si>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</si>
  <si>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</si>
  <si>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</si>
  <si>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</si>
  <si>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</si>
  <si>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</si>
  <si>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</si>
  <si>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</si>
  <si>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</si>
  <si>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</si>
  <si>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</si>
  <si>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</si>
  <si>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</si>
  <si>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</si>
  <si>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</si>
  <si>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</si>
  <si>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</si>
  <si>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</si>
  <si>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</si>
  <si>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</si>
  <si>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</si>
  <si>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</si>
  <si>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</si>
  <si>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</si>
  <si>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</si>
  <si>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</si>
  <si>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</si>
  <si>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</si>
  <si>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</si>
  <si>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</si>
  <si>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</si>
  <si>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</si>
  <si>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</si>
  <si>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</si>
  <si>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</si>
  <si>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</si>
  <si>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</si>
  <si>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</si>
  <si>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</si>
  <si>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</si>
  <si>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</si>
  <si>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</si>
  <si>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</si>
  <si>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</si>
  <si>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</si>
  <si>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</si>
  <si>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</si>
  <si>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</si>
  <si>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</si>
  <si>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</si>
  <si>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</si>
  <si>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</si>
  <si>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</si>
  <si>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</si>
  <si>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</si>
  <si>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</si>
  <si>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</si>
  <si>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</si>
  <si>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</si>
  <si>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</si>
  <si>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</si>
  <si>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</si>
  <si>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</si>
  <si>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</si>
  <si>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</si>
  <si>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</si>
  <si>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</si>
  <si>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</si>
  <si>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</si>
  <si>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</si>
  <si>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</si>
  <si>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</si>
  <si>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</si>
  <si>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</si>
  <si>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</si>
  <si>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</si>
  <si>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</si>
  <si>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</si>
  <si>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</si>
  <si>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</si>
  <si>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</si>
  <si>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</si>
  <si>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</si>
  <si>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</si>
  <si>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</si>
  <si>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</si>
  <si>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</si>
  <si>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</si>
  <si>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</si>
  <si>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</si>
  <si>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</si>
  <si>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</si>
  <si>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</si>
  <si>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</si>
  <si>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</si>
  <si>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</si>
  <si>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</si>
  <si>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</si>
  <si>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</si>
  <si>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</si>
  <si>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</si>
  <si>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</si>
  <si>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</si>
  <si>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</si>
  <si>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</si>
  <si>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</si>
  <si>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</si>
  <si>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</si>
  <si>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</si>
  <si>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</si>
  <si>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</si>
  <si>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</si>
  <si>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</si>
  <si>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</si>
  <si>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</si>
  <si>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</si>
  <si>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</si>
  <si>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</si>
  <si>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</si>
  <si>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</si>
  <si>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</si>
  <si>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</si>
  <si>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</si>
  <si>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</si>
  <si>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</si>
  <si>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</si>
  <si>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</si>
  <si>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</si>
  <si>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</si>
  <si>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</si>
  <si>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</si>
  <si>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</si>
  <si>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</si>
  <si>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</si>
  <si>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</si>
  <si>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</si>
  <si>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</si>
  <si>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</si>
  <si>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</si>
  <si>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</si>
  <si>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</si>
  <si>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</si>
  <si>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</si>
  <si>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</si>
  <si>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</si>
  <si>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</si>
  <si>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</si>
  <si>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</si>
  <si>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</si>
  <si>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</si>
  <si>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</si>
  <si>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</si>
  <si>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</si>
  <si>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</si>
  <si>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</si>
  <si>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</si>
  <si>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</si>
  <si>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</si>
  <si>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</si>
  <si>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</si>
  <si>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</si>
  <si>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</si>
  <si>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</si>
  <si>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</si>
  <si>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</si>
  <si>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</si>
  <si>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</si>
  <si>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</si>
  <si>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</si>
  <si>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</si>
  <si>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</si>
  <si>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</si>
  <si>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</si>
  <si>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</si>
  <si>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</si>
  <si>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</si>
  <si>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</si>
  <si>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</si>
  <si>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</si>
  <si>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</si>
  <si>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</si>
  <si>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</si>
  <si>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</si>
  <si>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</si>
  <si>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</si>
  <si>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</si>
  <si>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</si>
  <si>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</si>
  <si>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</si>
  <si>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</si>
  <si>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</si>
  <si>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</si>
  <si>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</si>
  <si>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</si>
  <si>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</si>
  <si>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</si>
  <si>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</si>
  <si>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</si>
  <si>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</si>
  <si>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</si>
  <si>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</si>
  <si>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</si>
  <si>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</si>
  <si>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</si>
  <si>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</si>
  <si>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</si>
  <si>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</si>
  <si>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</si>
  <si>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</si>
  <si>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</si>
  <si>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</si>
  <si>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</si>
  <si>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</si>
  <si>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</si>
  <si>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</si>
  <si>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</si>
  <si>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</si>
  <si>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</si>
  <si>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</si>
  <si>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</si>
  <si>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</si>
  <si>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</si>
  <si>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</si>
  <si>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</si>
  <si>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</si>
  <si>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</si>
  <si>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</si>
  <si>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</si>
  <si>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</si>
  <si>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</si>
  <si>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</si>
  <si>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</si>
  <si>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</si>
  <si>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</si>
  <si>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</si>
  <si>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</si>
  <si>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</si>
  <si>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</si>
  <si>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</si>
  <si>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</si>
  <si>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</si>
  <si>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</si>
  <si>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</si>
  <si>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</si>
  <si>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</si>
  <si>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</si>
  <si>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</si>
  <si>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</si>
  <si>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</si>
  <si>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</si>
  <si>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</si>
  <si>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</si>
  <si>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</si>
  <si>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</si>
  <si>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</si>
  <si>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</si>
  <si>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</si>
  <si>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</si>
  <si>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</si>
  <si>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</si>
  <si>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</si>
  <si>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</si>
  <si>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</si>
  <si>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</si>
  <si>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</si>
  <si>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</si>
  <si>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</si>
  <si>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</si>
  <si>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</si>
  <si>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</si>
  <si>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</si>
  <si>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</si>
  <si>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</si>
  <si>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</si>
  <si>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</si>
  <si>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</si>
  <si>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</si>
  <si>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</si>
  <si>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</si>
  <si>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</si>
  <si>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</si>
  <si>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</si>
  <si>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</si>
  <si>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</si>
  <si>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</si>
  <si>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</si>
  <si>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</si>
  <si>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</si>
  <si>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</si>
  <si>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</si>
  <si>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</si>
  <si>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</si>
  <si>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</si>
  <si>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</si>
  <si>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</si>
  <si>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</si>
  <si>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</si>
  <si>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</si>
  <si>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</si>
  <si>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</si>
  <si>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</si>
  <si>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</si>
  <si>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</si>
  <si>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</si>
  <si>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</si>
  <si>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</si>
  <si>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</si>
  <si>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</si>
  <si>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</si>
  <si>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</si>
  <si>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</si>
  <si>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</si>
  <si>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</si>
  <si>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</si>
  <si>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</si>
  <si>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</si>
  <si>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</si>
  <si>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</si>
  <si>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</si>
  <si>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</si>
  <si>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</si>
  <si>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</si>
  <si>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</si>
  <si>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</si>
  <si>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</si>
  <si>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</si>
  <si>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</si>
  <si>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</si>
  <si>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</si>
  <si>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</si>
  <si>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</si>
  <si>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</si>
  <si>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</si>
  <si>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</si>
  <si>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</si>
  <si>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</si>
  <si>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</si>
  <si>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</si>
  <si>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</si>
  <si>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</si>
  <si>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</si>
  <si>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</si>
  <si>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</si>
  <si>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</si>
  <si>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</si>
  <si>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</si>
  <si>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</si>
  <si>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</si>
  <si>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</si>
  <si>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</si>
  <si>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</si>
  <si>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</si>
  <si>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</si>
  <si>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</si>
  <si>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</si>
  <si>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</si>
  <si>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</si>
  <si>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</si>
  <si>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</si>
  <si>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</si>
  <si>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</si>
  <si>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</si>
  <si>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</si>
  <si>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</si>
  <si>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</si>
  <si>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</si>
  <si>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</si>
  <si>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</si>
  <si>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</si>
  <si>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</si>
  <si>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</si>
  <si>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</si>
  <si>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</si>
  <si>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</si>
  <si>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</si>
  <si>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</si>
  <si>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</si>
  <si>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</si>
  <si>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</si>
  <si>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</si>
  <si>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</si>
  <si>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</si>
  <si>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</si>
  <si>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</si>
  <si>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</si>
  <si>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</si>
  <si>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</si>
  <si>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</si>
  <si>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</si>
  <si>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</si>
  <si>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</si>
  <si>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</si>
  <si>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</si>
  <si>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</si>
  <si>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</si>
  <si>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</si>
  <si>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</si>
  <si>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</si>
  <si>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</si>
  <si>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</si>
  <si>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</si>
  <si>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</si>
  <si>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</si>
  <si>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</si>
  <si>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</si>
  <si>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</si>
  <si>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</si>
  <si>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</si>
  <si>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</si>
  <si>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</si>
  <si>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</si>
  <si>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</si>
  <si>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</si>
  <si>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</si>
  <si>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</si>
  <si>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</si>
  <si>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</si>
  <si>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</si>
  <si>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</si>
  <si>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</si>
  <si>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</si>
  <si>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</si>
  <si>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</si>
  <si>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</si>
  <si>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</si>
  <si>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</si>
  <si>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</si>
  <si>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</si>
  <si>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</si>
  <si>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</si>
  <si>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</si>
  <si>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</si>
  <si>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</si>
  <si>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</si>
  <si>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</si>
  <si>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</si>
  <si>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</si>
  <si>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</si>
  <si>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</si>
  <si>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</si>
  <si>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</si>
  <si>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</si>
  <si>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</si>
  <si>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</si>
  <si>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</si>
  <si>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</si>
  <si>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</si>
  <si>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</si>
  <si>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</si>
  <si>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</si>
  <si>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</si>
  <si>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</si>
  <si>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</si>
  <si>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</si>
  <si>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</si>
  <si>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</si>
  <si>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</si>
  <si>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</si>
  <si>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</si>
  <si>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</si>
  <si>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</si>
  <si>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</si>
  <si>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</si>
  <si>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</si>
  <si>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</si>
  <si>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</si>
  <si>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</si>
  <si>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</si>
  <si>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</si>
  <si>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</si>
  <si>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</si>
  <si>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</si>
  <si>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</si>
  <si>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</si>
  <si>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</si>
  <si>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</si>
  <si>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</si>
  <si>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</si>
  <si>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</si>
  <si>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</si>
  <si>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</si>
  <si>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</si>
  <si>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</si>
  <si>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</si>
  <si>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</si>
  <si>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</si>
  <si>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</si>
  <si>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</si>
  <si>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</si>
  <si>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</si>
  <si>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</si>
  <si>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</si>
  <si>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</si>
  <si>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</si>
  <si>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</si>
  <si>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</si>
  <si>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</si>
  <si>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</si>
  <si>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</si>
  <si>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</si>
  <si>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</si>
  <si>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</si>
  <si>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</si>
  <si>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</si>
  <si>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</si>
  <si>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</si>
  <si>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</si>
  <si>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</si>
  <si>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</si>
  <si>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</si>
  <si>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</si>
  <si>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</si>
  <si>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</si>
  <si>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</si>
  <si>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</si>
  <si>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</si>
  <si>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</si>
  <si>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</si>
  <si>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</si>
  <si>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</si>
  <si>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</si>
  <si>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</si>
  <si>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</si>
  <si>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</si>
  <si>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</si>
  <si>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</si>
  <si>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</si>
  <si>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</si>
  <si>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</si>
  <si>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</si>
  <si>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</si>
  <si>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</si>
  <si>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</si>
  <si>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</si>
  <si>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</si>
  <si>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</si>
  <si>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</si>
  <si>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</si>
  <si>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</si>
  <si>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</si>
  <si>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</si>
  <si>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</si>
  <si>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</si>
  <si>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</si>
  <si>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</si>
  <si>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</si>
  <si>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</si>
  <si>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</si>
  <si>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</si>
  <si>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</si>
  <si>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</si>
  <si>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</si>
  <si>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</si>
  <si>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</si>
  <si>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</si>
  <si>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</si>
  <si>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</si>
  <si>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</si>
  <si>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</si>
  <si>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</si>
  <si>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</si>
  <si>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</si>
  <si>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</si>
  <si>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</si>
  <si>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</si>
  <si>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</si>
  <si>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</si>
  <si>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</si>
  <si>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</si>
  <si>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</si>
  <si>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</si>
  <si>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</si>
  <si>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</si>
  <si>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</si>
  <si>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</si>
  <si>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</si>
  <si>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</si>
  <si>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</si>
  <si>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</si>
  <si>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</si>
  <si>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</si>
  <si>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</si>
  <si>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</si>
  <si>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</si>
  <si>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</si>
  <si>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</si>
  <si>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</si>
  <si>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</si>
  <si>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</si>
  <si>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</si>
  <si>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</si>
  <si>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</si>
  <si>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</si>
  <si>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</si>
  <si>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</si>
  <si>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</si>
  <si>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</si>
  <si>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</si>
  <si>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</si>
  <si>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</si>
  <si>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</si>
  <si>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</si>
  <si>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</si>
  <si>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</si>
  <si>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</si>
  <si>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</si>
  <si>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</si>
  <si>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</si>
  <si>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</si>
  <si>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</si>
  <si>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</si>
  <si>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</si>
  <si>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</si>
  <si>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</si>
  <si>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</si>
  <si>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</si>
  <si>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</si>
  <si>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</si>
  <si>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</si>
  <si>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</si>
  <si>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</si>
  <si>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</si>
  <si>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</si>
  <si>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</si>
  <si>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</si>
  <si>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</si>
  <si>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</si>
  <si>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</si>
  <si>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</si>
  <si>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</si>
  <si>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</si>
  <si>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</si>
  <si>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</si>
  <si>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</si>
  <si>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</si>
  <si>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</si>
  <si>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</si>
  <si>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</si>
  <si>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</si>
  <si>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</si>
  <si>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</si>
  <si>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</si>
  <si>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</si>
  <si>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</si>
  <si>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</si>
  <si>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</si>
  <si>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</si>
  <si>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</si>
  <si>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</si>
  <si>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</si>
  <si>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</si>
  <si>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</si>
  <si>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</si>
  <si>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</si>
  <si>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</si>
  <si>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</si>
  <si>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</si>
  <si>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</si>
  <si>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</si>
  <si>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</si>
  <si>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</si>
  <si>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</si>
  <si>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</si>
  <si>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</si>
  <si>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</si>
  <si>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</si>
  <si>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</si>
  <si>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</si>
  <si>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</si>
  <si>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</si>
  <si>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</si>
  <si>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</si>
  <si>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</si>
  <si>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</si>
  <si>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</si>
  <si>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</si>
  <si>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</si>
  <si>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</si>
  <si>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</si>
  <si>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</si>
  <si>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</si>
  <si>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</si>
  <si>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</si>
  <si>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</si>
  <si>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</si>
  <si>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</si>
  <si>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</si>
  <si>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</si>
  <si>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</si>
  <si>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</si>
  <si>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</si>
  <si>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</si>
  <si>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</si>
  <si>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</si>
  <si>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</si>
  <si>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</si>
  <si>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</si>
  <si>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</si>
  <si>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</si>
  <si>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</si>
  <si>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</si>
  <si>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</si>
  <si>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</si>
  <si>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</si>
  <si>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</si>
  <si>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</si>
  <si>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</si>
  <si>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</si>
  <si>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</si>
  <si>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</si>
  <si>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</si>
  <si>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</si>
  <si>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</si>
  <si>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</si>
  <si>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</si>
  <si>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</si>
  <si>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</si>
  <si>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</si>
  <si>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</si>
  <si>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</si>
  <si>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</si>
  <si>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</si>
  <si>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</si>
  <si>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</si>
  <si>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</si>
  <si>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</si>
  <si>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</si>
  <si>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</si>
  <si>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</si>
  <si>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</si>
  <si>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</si>
  <si>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</si>
  <si>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</si>
  <si>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</si>
  <si>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</si>
  <si>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</si>
  <si>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</si>
  <si>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</si>
  <si>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</si>
  <si>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</si>
  <si>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</si>
  <si>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</si>
  <si>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</si>
  <si>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</si>
  <si>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</si>
  <si>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</si>
  <si>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</si>
  <si>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</si>
  <si>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</si>
  <si>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</si>
  <si>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</si>
  <si>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</si>
  <si>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</si>
  <si>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</si>
  <si>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</si>
  <si>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</si>
  <si>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</si>
  <si>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</si>
  <si>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</si>
  <si>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</si>
  <si>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</si>
  <si>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</si>
  <si>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</si>
  <si>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</si>
  <si>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</si>
  <si>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</si>
  <si>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</si>
  <si>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</si>
  <si>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</si>
  <si>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</si>
  <si>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</si>
  <si>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</si>
  <si>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</si>
  <si>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</si>
  <si>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</si>
  <si>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</si>
  <si>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</si>
  <si>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</si>
  <si>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</si>
  <si>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</si>
  <si>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</si>
  <si>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</si>
  <si>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</si>
  <si>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</si>
  <si>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</si>
  <si>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</si>
  <si>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</si>
  <si>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</si>
  <si>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</si>
  <si>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</si>
  <si>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</si>
  <si>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</si>
  <si>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</si>
  <si>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</si>
  <si>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</si>
  <si>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</si>
  <si>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</si>
  <si>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</si>
  <si>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</si>
  <si>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</si>
  <si>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</si>
  <si>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</si>
  <si>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</si>
  <si>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</si>
  <si>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</si>
  <si>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</si>
  <si>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</si>
  <si>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</si>
  <si>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</si>
  <si>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</si>
  <si>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</si>
  <si>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</si>
  <si>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</si>
  <si>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</si>
  <si>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</si>
  <si>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</si>
  <si>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</si>
  <si>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</si>
  <si>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</si>
  <si>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</si>
  <si>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</si>
  <si>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</si>
  <si>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</si>
  <si>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</si>
  <si>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</si>
  <si>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</si>
  <si>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</si>
  <si>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</si>
  <si>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</si>
  <si>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</si>
  <si>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</si>
  <si>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</si>
  <si>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</si>
  <si>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</si>
  <si>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</si>
  <si>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</si>
  <si>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</si>
  <si>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</si>
  <si>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</si>
  <si>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</si>
  <si>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</si>
  <si>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</si>
  <si>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</si>
  <si>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</si>
  <si>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</si>
  <si>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</si>
  <si>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</si>
  <si>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</si>
  <si>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</si>
  <si>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</si>
  <si>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</si>
  <si>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</si>
  <si>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</si>
  <si>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</si>
  <si>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</si>
  <si>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</si>
  <si>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</si>
  <si>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</si>
  <si>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</si>
  <si>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</si>
  <si>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</si>
  <si>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</si>
  <si>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</si>
  <si>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</si>
  <si>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</si>
  <si>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</si>
  <si>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</si>
  <si>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</si>
  <si>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</si>
  <si>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</si>
  <si>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</si>
  <si>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</si>
  <si>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</si>
  <si>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</si>
  <si>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</si>
  <si>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</si>
  <si>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</si>
  <si>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</si>
  <si>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</si>
  <si>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</si>
  <si>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</si>
  <si>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</si>
  <si>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</si>
  <si>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</si>
  <si>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</si>
  <si>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</si>
  <si>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</si>
  <si>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</si>
  <si>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</si>
  <si>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</si>
  <si>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</si>
  <si>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</si>
  <si>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</si>
  <si>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</si>
  <si>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</si>
  <si>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</si>
  <si>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</si>
  <si>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</si>
  <si>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</si>
  <si>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</si>
  <si>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</si>
  <si>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</si>
  <si>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</si>
  <si>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</si>
  <si>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</si>
  <si>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</si>
  <si>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</si>
  <si>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</si>
  <si>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</si>
  <si>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</si>
  <si>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</si>
  <si>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</si>
  <si>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</si>
  <si>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</si>
  <si>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</si>
  <si>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</si>
  <si>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</si>
  <si>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</si>
  <si>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</si>
  <si>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</si>
  <si>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</si>
  <si>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</si>
  <si>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</si>
  <si>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</si>
  <si>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</si>
  <si>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</si>
  <si>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</si>
  <si>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</si>
  <si>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</si>
  <si>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</si>
  <si>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</si>
  <si>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</si>
  <si>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</si>
  <si>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</si>
  <si>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</si>
  <si>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</si>
  <si>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</si>
  <si>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</si>
  <si>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</si>
  <si>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</si>
  <si>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</si>
  <si>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</si>
  <si>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</si>
  <si>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</si>
  <si>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</si>
  <si>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</si>
  <si>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</si>
  <si>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</si>
  <si>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</si>
  <si>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</si>
  <si>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</si>
  <si>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</si>
  <si>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</si>
  <si>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</si>
  <si>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</si>
  <si>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</si>
  <si>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</si>
  <si>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</si>
  <si>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</si>
  <si>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</si>
  <si>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</si>
  <si>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</si>
  <si>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</si>
  <si>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</si>
  <si>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</si>
  <si>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</si>
  <si>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</si>
  <si>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</si>
  <si>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</si>
  <si>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</si>
  <si>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</si>
  <si>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</si>
  <si>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</si>
  <si>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</si>
  <si>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</si>
  <si>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</si>
  <si>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</si>
  <si>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</si>
  <si>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</si>
  <si>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</si>
  <si>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</si>
  <si>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</si>
  <si>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</si>
  <si>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</si>
  <si>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</si>
  <si>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</si>
  <si>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</si>
  <si>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</si>
  <si>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</si>
  <si>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</si>
  <si>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</si>
  <si>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</si>
  <si>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</si>
  <si>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</si>
  <si>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</si>
  <si>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</si>
  <si>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</si>
  <si>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</si>
  <si>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</si>
  <si>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</si>
  <si>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</si>
  <si>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</si>
  <si>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</si>
  <si>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</si>
  <si>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</si>
  <si>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</si>
  <si>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</si>
  <si>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</si>
  <si>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</si>
  <si>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</si>
  <si>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</si>
  <si>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</si>
  <si>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</si>
  <si>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</si>
  <si>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</si>
  <si>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</si>
  <si>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</si>
  <si>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</si>
  <si>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</si>
  <si>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</si>
  <si>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</si>
  <si>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</si>
  <si>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</si>
  <si>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</si>
  <si>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</si>
  <si>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</si>
  <si>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</si>
  <si>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</si>
  <si>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</si>
  <si>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</si>
  <si>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</si>
  <si>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</si>
  <si>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</si>
  <si>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</si>
  <si>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</si>
  <si>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</si>
  <si>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</si>
  <si>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</si>
  <si>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</si>
  <si>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</si>
  <si>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</si>
  <si>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</si>
  <si>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</si>
  <si>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</si>
  <si>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</si>
  <si>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</si>
  <si>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</si>
  <si>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</si>
  <si>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</si>
  <si>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</si>
  <si>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</si>
  <si>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</si>
  <si>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</si>
  <si>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</si>
  <si>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</si>
  <si>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</si>
  <si>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</si>
  <si>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</si>
  <si>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</si>
  <si>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</si>
  <si>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</si>
  <si>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</si>
  <si>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</si>
  <si>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</si>
  <si>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</si>
  <si>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</si>
  <si>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</si>
  <si>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</si>
  <si>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</si>
  <si>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</si>
  <si>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</si>
  <si>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</si>
  <si>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</si>
  <si>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</si>
  <si>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</si>
  <si>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</si>
  <si>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</si>
  <si>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</si>
  <si>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</si>
  <si>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</si>
  <si>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</si>
  <si>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</si>
  <si>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</si>
  <si>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</si>
  <si>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</si>
  <si>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</si>
  <si>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</si>
  <si>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</si>
  <si>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</si>
  <si>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</si>
  <si>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</si>
  <si>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</si>
  <si>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</si>
  <si>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</si>
  <si>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</si>
  <si>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</si>
  <si>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</si>
  <si>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</si>
  <si>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</si>
  <si>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</si>
  <si>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</si>
  <si>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</si>
  <si>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</si>
  <si>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</si>
  <si>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</si>
  <si>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</si>
  <si>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</si>
  <si>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</si>
  <si>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</si>
  <si>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</si>
  <si>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</si>
  <si>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</si>
  <si>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</si>
  <si>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</si>
  <si>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</si>
  <si>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</si>
  <si>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</si>
  <si>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</si>
  <si>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</si>
  <si>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</si>
  <si>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</si>
  <si>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</si>
  <si>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</si>
  <si>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</si>
  <si>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</si>
  <si>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</si>
  <si>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</si>
  <si>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</si>
  <si>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</si>
  <si>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</si>
  <si>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</si>
  <si>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</si>
  <si>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</si>
  <si>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</si>
  <si>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</si>
  <si>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</si>
  <si>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</si>
  <si>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</si>
  <si>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</si>
  <si>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</si>
  <si>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</si>
  <si>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</si>
  <si>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</si>
  <si>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</si>
  <si>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</si>
  <si>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</si>
  <si>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</si>
  <si>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</si>
  <si>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</si>
  <si>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</si>
  <si>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</si>
  <si>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</si>
  <si>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</si>
  <si>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</si>
  <si>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</si>
  <si>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</si>
  <si>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</si>
  <si>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</si>
  <si>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</si>
  <si>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</si>
  <si>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</si>
  <si>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</si>
  <si>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</si>
  <si>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</si>
  <si>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</si>
  <si>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</si>
  <si>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</si>
  <si>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</si>
  <si>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</si>
  <si>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</si>
  <si>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</si>
  <si>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</si>
  <si>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</si>
  <si>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</si>
  <si>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</si>
  <si>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</si>
  <si>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</si>
  <si>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</si>
  <si>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</si>
  <si>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</si>
  <si>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</si>
  <si>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</si>
  <si>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</si>
  <si>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</si>
  <si>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</si>
  <si>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</si>
  <si>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</si>
  <si>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</si>
  <si>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</si>
  <si>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</si>
  <si>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</si>
  <si>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</si>
  <si>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</si>
  <si>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</si>
  <si>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</si>
  <si>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</si>
  <si>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</si>
  <si>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</si>
  <si>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</si>
  <si>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</si>
  <si>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</si>
  <si>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</si>
  <si>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</si>
  <si>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</si>
  <si>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</si>
  <si>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</si>
  <si>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</si>
  <si>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</si>
  <si>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</si>
  <si>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</si>
  <si>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</si>
  <si>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</si>
  <si>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</si>
  <si>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</si>
  <si>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</si>
  <si>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</si>
  <si>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</si>
  <si>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</si>
  <si>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</si>
  <si>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</si>
  <si>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</si>
  <si>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</si>
  <si>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</si>
  <si>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</si>
  <si>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</si>
  <si>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</si>
  <si>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</si>
  <si>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</si>
  <si>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</si>
  <si>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</si>
  <si>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</si>
  <si>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</si>
  <si>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</si>
  <si>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</si>
  <si>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</si>
  <si>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</si>
  <si>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</si>
  <si>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</si>
  <si>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</si>
  <si>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</si>
  <si>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</si>
  <si>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</si>
  <si>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</si>
  <si>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</si>
  <si>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</si>
  <si>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</si>
  <si>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</si>
  <si>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</si>
  <si>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</si>
  <si>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</si>
  <si>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</si>
  <si>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</si>
  <si>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</si>
  <si>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</si>
  <si>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</si>
  <si>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</si>
  <si>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</si>
  <si>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</si>
  <si>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</si>
  <si>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</si>
  <si>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</si>
  <si>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</si>
  <si>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</si>
  <si>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</si>
  <si>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</si>
  <si>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</si>
  <si>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</si>
  <si>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</si>
  <si>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</si>
  <si>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</si>
  <si>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</si>
  <si>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</si>
  <si>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</si>
  <si>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</si>
  <si>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</si>
  <si>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</si>
  <si>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</si>
  <si>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</si>
  <si>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</si>
  <si>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</si>
  <si>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</si>
  <si>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</si>
  <si>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</si>
  <si>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</si>
  <si>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</si>
  <si>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</si>
  <si>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</si>
  <si>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</si>
  <si>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</si>
  <si>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</si>
  <si>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</si>
  <si>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</si>
  <si>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</si>
  <si>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</si>
  <si>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</si>
  <si>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</si>
  <si>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</si>
  <si>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</si>
  <si>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</si>
  <si>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</si>
  <si>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</si>
  <si>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</si>
  <si>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</si>
  <si>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</si>
  <si>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</si>
  <si>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</si>
  <si>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</si>
  <si>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</si>
  <si>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</si>
  <si>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</si>
  <si>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</si>
  <si>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</si>
  <si>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</si>
  <si>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</si>
  <si>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</si>
  <si>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</si>
  <si>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</si>
  <si>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</si>
  <si>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</si>
  <si>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</si>
  <si>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</si>
  <si>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</si>
  <si>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</si>
  <si>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</si>
  <si>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</si>
  <si>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</si>
  <si>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</si>
  <si>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</si>
  <si>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</si>
  <si>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</si>
  <si>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</si>
  <si>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</si>
  <si>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</si>
  <si>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</si>
  <si>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</si>
  <si>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</si>
  <si>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</si>
  <si>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</si>
  <si>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</si>
  <si>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</si>
  <si>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</si>
  <si>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</si>
  <si>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</si>
  <si>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</si>
  <si>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</si>
  <si>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</si>
  <si>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</si>
  <si>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</si>
  <si>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</si>
  <si>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</si>
  <si>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</si>
  <si>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</si>
  <si>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</si>
  <si>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</si>
  <si>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</si>
  <si>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</si>
  <si>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</si>
  <si>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</si>
  <si>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</si>
  <si>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</si>
  <si>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</si>
  <si>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</si>
  <si>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</si>
  <si>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</si>
  <si>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</si>
  <si>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</si>
  <si>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</si>
  <si>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</si>
  <si>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</si>
  <si>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</si>
  <si>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</si>
  <si>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</si>
  <si>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</si>
  <si>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</si>
  <si>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</si>
  <si>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</si>
  <si>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</si>
  <si>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</si>
  <si>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</si>
  <si>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</si>
  <si>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</si>
  <si>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</si>
  <si>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</si>
  <si>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</si>
  <si>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</si>
  <si>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</si>
  <si>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</si>
  <si>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</si>
  <si>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</si>
  <si>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</si>
  <si>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</si>
  <si>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</si>
  <si>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</si>
  <si>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</si>
  <si>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</si>
  <si>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</si>
  <si>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</si>
  <si>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</si>
  <si>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</si>
  <si>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</si>
  <si>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</si>
  <si>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</si>
  <si>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</si>
  <si>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</si>
  <si>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</si>
  <si>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</si>
  <si>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</si>
  <si>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</si>
  <si>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</si>
  <si>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</si>
  <si>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</si>
  <si>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</si>
  <si>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</si>
  <si>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</si>
  <si>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</si>
  <si>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</si>
  <si>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</si>
  <si>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</si>
  <si>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</si>
  <si>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</si>
  <si>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</si>
  <si>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</si>
  <si>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</si>
  <si>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</si>
  <si>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</si>
  <si>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</si>
  <si>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</si>
  <si>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</si>
  <si>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</si>
  <si>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</si>
  <si>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</si>
  <si>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</si>
  <si>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</si>
  <si>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</si>
  <si>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</si>
  <si>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</si>
  <si>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</si>
  <si>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</si>
  <si>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</si>
  <si>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</si>
  <si>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</si>
  <si>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</si>
  <si>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</si>
  <si>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</si>
  <si>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</si>
  <si>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</si>
  <si>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</si>
  <si>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</si>
  <si>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</si>
  <si>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</si>
  <si>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</si>
  <si>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</si>
  <si>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</si>
  <si>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</si>
  <si>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</si>
  <si>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</si>
  <si>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</si>
  <si>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</si>
  <si>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</si>
  <si>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</si>
  <si>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</si>
  <si>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</si>
  <si>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</si>
  <si>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</si>
  <si>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</si>
  <si>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</si>
  <si>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</si>
  <si>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</si>
  <si>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</si>
  <si>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</si>
  <si>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</si>
  <si>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</si>
  <si>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</si>
  <si>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</si>
  <si>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</si>
  <si>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</si>
  <si>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</si>
  <si>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</si>
  <si>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</si>
  <si>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</si>
  <si>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</si>
  <si>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</si>
  <si>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</si>
  <si>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</si>
  <si>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</si>
  <si>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</si>
  <si>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</si>
  <si>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</si>
  <si>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</si>
  <si>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</si>
  <si>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</si>
  <si>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</si>
  <si>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</si>
  <si>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</si>
  <si>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</si>
  <si>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</si>
  <si>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</si>
  <si>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</si>
  <si>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</si>
  <si>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</si>
  <si>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</si>
  <si>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</si>
  <si>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</si>
  <si>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</si>
  <si>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</si>
  <si>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</si>
  <si>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</si>
  <si>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</si>
  <si>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</si>
  <si>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</si>
  <si>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</si>
  <si>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</si>
  <si>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</si>
  <si>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</si>
  <si>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</si>
  <si>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</si>
  <si>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</si>
  <si>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</si>
  <si>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</si>
  <si>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</si>
  <si>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</si>
  <si>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</si>
  <si>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</si>
  <si>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</si>
  <si>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</si>
  <si>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</si>
  <si>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</si>
  <si>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</si>
  <si>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</si>
  <si>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</si>
  <si>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</si>
  <si>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</si>
  <si>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</si>
  <si>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</si>
  <si>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</si>
  <si>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</si>
  <si>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</si>
  <si>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</si>
  <si>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</si>
  <si>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</si>
  <si>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</si>
  <si>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</si>
  <si>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</si>
  <si>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</si>
  <si>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</si>
  <si>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</si>
  <si>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</si>
  <si>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</si>
  <si>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</si>
  <si>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</si>
  <si>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</si>
  <si>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</si>
  <si>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</si>
  <si>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</si>
  <si>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</si>
  <si>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</si>
  <si>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</si>
  <si>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</si>
  <si>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</si>
  <si>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</si>
  <si>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</si>
  <si>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</si>
  <si>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</si>
  <si>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</si>
  <si>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</si>
  <si>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</si>
  <si>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</si>
  <si>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</si>
  <si>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</si>
  <si>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</si>
  <si>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</si>
  <si>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</si>
  <si>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</si>
  <si>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</si>
  <si>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</si>
  <si>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</si>
  <si>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</si>
  <si>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</si>
  <si>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</si>
  <si>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</si>
  <si>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</si>
  <si>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</si>
  <si>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</si>
  <si>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</si>
  <si>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</si>
  <si>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</si>
  <si>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</si>
  <si>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</si>
  <si>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</si>
  <si>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</si>
  <si>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</si>
  <si>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</si>
  <si>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</si>
  <si>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</si>
  <si>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</si>
  <si>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</si>
  <si>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</si>
  <si>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</si>
  <si>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</si>
  <si>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</si>
  <si>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</si>
  <si>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</si>
  <si>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</si>
  <si>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</si>
  <si>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</si>
  <si>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</si>
  <si>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</si>
  <si>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</si>
  <si>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</si>
  <si>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</si>
  <si>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</si>
  <si>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</si>
  <si>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</si>
  <si>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</si>
  <si>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</si>
  <si>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</si>
  <si>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</si>
  <si>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</si>
  <si>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</si>
  <si>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</si>
  <si>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</si>
  <si>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</si>
  <si>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</si>
  <si>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</si>
  <si>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</si>
  <si>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</si>
  <si>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</si>
  <si>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</si>
  <si>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</si>
  <si>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</si>
  <si>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</si>
  <si>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</si>
  <si>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</si>
  <si>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</si>
  <si>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</si>
  <si>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</si>
  <si>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</si>
  <si>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</si>
  <si>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</si>
  <si>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</si>
  <si>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</si>
  <si>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</si>
  <si>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</si>
  <si>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</si>
  <si>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</si>
  <si>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</si>
  <si>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</si>
  <si>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</si>
  <si>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</si>
  <si>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</si>
  <si>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</si>
  <si>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</si>
  <si>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</si>
  <si>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</si>
  <si>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</si>
  <si>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</si>
  <si>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</si>
  <si>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</si>
  <si>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</si>
  <si>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</si>
  <si>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</si>
  <si>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</si>
  <si>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</si>
  <si>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</si>
  <si>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</si>
  <si>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</si>
  <si>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</si>
  <si>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</si>
  <si>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</si>
  <si>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</si>
  <si>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</si>
  <si>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</si>
  <si>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</si>
  <si>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</si>
  <si>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</si>
  <si>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</si>
  <si>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</si>
  <si>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</si>
  <si>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</si>
  <si>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</si>
  <si>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</si>
  <si>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</si>
  <si>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</si>
  <si>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</si>
  <si>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</si>
  <si>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</si>
  <si>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</si>
  <si>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</si>
  <si>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</si>
  <si>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</si>
  <si>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</si>
  <si>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</si>
  <si>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</si>
  <si>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</si>
  <si>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</si>
  <si>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</si>
  <si>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</si>
  <si>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</si>
  <si>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</si>
  <si>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</si>
  <si>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</si>
  <si>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</si>
  <si>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</si>
  <si>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</si>
  <si>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</si>
  <si>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</si>
  <si>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</si>
  <si>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</si>
  <si>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</si>
  <si>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</si>
  <si>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</si>
  <si>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</si>
  <si>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</si>
  <si>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</si>
  <si>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</si>
  <si>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</si>
  <si>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</si>
  <si>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</si>
  <si>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</si>
  <si>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</si>
  <si>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</si>
  <si>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</si>
  <si>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</si>
  <si>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</si>
  <si>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</si>
  <si>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</si>
  <si>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</si>
  <si>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</si>
  <si>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</si>
  <si>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</si>
  <si>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</si>
  <si>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</si>
  <si>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</si>
  <si>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</si>
  <si>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</si>
  <si>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</si>
  <si>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</si>
  <si>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</si>
  <si>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</si>
  <si>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</si>
  <si>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</si>
  <si>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</si>
  <si>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</si>
  <si>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</si>
  <si>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</si>
  <si>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</si>
  <si>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</si>
  <si>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</si>
  <si>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</si>
  <si>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</si>
  <si>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</si>
  <si>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</si>
  <si>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</si>
  <si>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</si>
  <si>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</si>
  <si>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</si>
  <si>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</si>
  <si>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</si>
  <si>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</si>
  <si>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</si>
  <si>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</si>
  <si>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</si>
  <si>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</si>
  <si>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</si>
  <si>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</si>
  <si>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</si>
  <si>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</si>
  <si>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</si>
  <si>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</si>
  <si>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</si>
  <si>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</si>
  <si>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</si>
  <si>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</si>
  <si>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</si>
  <si>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</si>
  <si>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</si>
  <si>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</si>
  <si>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</si>
  <si>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</si>
  <si>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</si>
  <si>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</si>
  <si>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</si>
  <si>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</si>
  <si>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</si>
  <si>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</si>
  <si>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</si>
  <si>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</si>
  <si>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</si>
  <si>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</si>
  <si>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</si>
  <si>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</si>
  <si>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</si>
  <si>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</si>
  <si>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</si>
  <si>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</si>
  <si>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</si>
  <si>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</si>
  <si>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</si>
  <si>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</si>
  <si>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</si>
  <si>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</si>
  <si>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</si>
  <si>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</si>
  <si>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</si>
  <si>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</si>
  <si>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</si>
  <si>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</si>
  <si>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</si>
  <si>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</si>
  <si>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</si>
  <si>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</si>
  <si>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</si>
  <si>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</si>
  <si>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</si>
  <si>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</si>
  <si>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</si>
  <si>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</si>
  <si>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</si>
  <si>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</si>
  <si>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</si>
  <si>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</si>
  <si>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</si>
  <si>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</si>
  <si>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</si>
  <si>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</si>
  <si>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</si>
  <si>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</si>
  <si>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</si>
  <si>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</si>
  <si>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</si>
  <si>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</si>
  <si>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</si>
  <si>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</si>
  <si>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</si>
  <si>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</si>
  <si>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</si>
  <si>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</si>
  <si>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</si>
  <si>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</si>
  <si>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</si>
  <si>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</si>
  <si>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</si>
  <si>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</si>
  <si>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</si>
  <si>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</si>
  <si>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</si>
  <si>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</si>
  <si>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</si>
  <si>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</si>
  <si>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</si>
  <si>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</si>
  <si>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</si>
  <si>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</si>
  <si>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</si>
  <si>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</si>
  <si>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</si>
  <si>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</si>
  <si>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</si>
  <si>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</si>
  <si>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</si>
  <si>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</si>
  <si>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</si>
  <si>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</si>
  <si>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</si>
  <si>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</si>
  <si>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</si>
  <si>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</si>
  <si>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</si>
  <si>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</si>
  <si>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</si>
  <si>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</si>
  <si>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</si>
  <si>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</si>
  <si>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</si>
  <si>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</si>
  <si>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</si>
  <si>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</si>
  <si>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</si>
  <si>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</si>
  <si>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</si>
  <si>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</si>
  <si>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</si>
  <si>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</si>
  <si>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</si>
  <si>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</si>
  <si>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</si>
  <si>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</si>
  <si>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</si>
  <si>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</si>
  <si>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</si>
  <si>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</si>
  <si>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</si>
  <si>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</si>
  <si>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</si>
  <si>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</si>
  <si>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</si>
  <si>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</si>
  <si>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</si>
  <si>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</si>
  <si>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</si>
  <si>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</si>
  <si>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</si>
  <si>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</si>
  <si>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</si>
  <si>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</si>
  <si>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</si>
  <si>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</si>
  <si>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</si>
  <si>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</si>
  <si>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</si>
  <si>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</si>
  <si>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</si>
  <si>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</si>
  <si>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</si>
  <si>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</si>
  <si>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</si>
  <si>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</si>
  <si>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</si>
  <si>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</si>
  <si>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</si>
  <si>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</si>
  <si>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</si>
  <si>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</si>
  <si>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</si>
  <si>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</si>
  <si>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</si>
  <si>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</si>
  <si>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</si>
  <si>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</si>
  <si>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</si>
  <si>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</si>
  <si>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</si>
  <si>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</si>
  <si>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</si>
  <si>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</si>
  <si>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</si>
  <si>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</si>
  <si>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</si>
  <si>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</si>
  <si>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</si>
  <si>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</si>
  <si>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</si>
  <si>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</si>
  <si>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</si>
  <si>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</si>
  <si>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</si>
  <si>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</si>
  <si>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</si>
  <si>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</si>
  <si>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</si>
  <si>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</si>
  <si>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</si>
  <si>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</si>
  <si>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</si>
  <si>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</si>
  <si>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</si>
  <si>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</si>
  <si>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</si>
  <si>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</si>
  <si>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</si>
  <si>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</si>
  <si>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</si>
  <si>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</si>
  <si>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</si>
  <si>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</si>
  <si>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</si>
  <si>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</si>
  <si>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</si>
  <si>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</si>
  <si>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</si>
  <si>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</si>
  <si>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</si>
  <si>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</si>
  <si>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</si>
  <si>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</si>
  <si>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</si>
  <si>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</si>
  <si>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</si>
  <si>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</si>
  <si>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</si>
  <si>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</si>
  <si>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</si>
  <si>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</si>
  <si>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</si>
  <si>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</si>
  <si>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</si>
  <si>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</si>
  <si>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</si>
  <si>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</si>
  <si>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</si>
  <si>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</si>
  <si>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</si>
  <si>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</si>
  <si>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</si>
  <si>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</si>
  <si>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</si>
  <si>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</si>
  <si>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</si>
  <si>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</si>
  <si>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</si>
  <si>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</si>
  <si>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</si>
  <si>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</si>
  <si>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</si>
  <si>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</si>
  <si>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</si>
  <si>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</si>
  <si>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</si>
  <si>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</si>
  <si>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</si>
  <si>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</si>
  <si>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</si>
  <si>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</si>
  <si>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</si>
  <si>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</si>
  <si>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</si>
  <si>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</si>
  <si>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</si>
  <si>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</si>
  <si>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</si>
  <si>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</si>
  <si>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</si>
  <si>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</si>
  <si>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</si>
  <si>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</si>
  <si>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</si>
  <si>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</si>
  <si>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</si>
  <si>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</si>
  <si>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</si>
  <si>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</si>
  <si>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</si>
  <si>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</si>
  <si>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</si>
  <si>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</si>
  <si>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</si>
  <si>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</si>
  <si>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</si>
  <si>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</si>
  <si>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</si>
  <si>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</si>
  <si>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</si>
  <si>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</si>
  <si>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</si>
  <si>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</si>
  <si>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</si>
  <si>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</si>
  <si>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</si>
  <si>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</si>
  <si>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</si>
  <si>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</si>
  <si>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</si>
  <si>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</si>
  <si>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</si>
  <si>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</si>
  <si>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</si>
  <si>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</si>
  <si>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</si>
  <si>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</si>
  <si>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</si>
  <si>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</si>
  <si>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</si>
  <si>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</si>
  <si>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</si>
  <si>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</si>
  <si>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</si>
  <si>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</si>
  <si>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</si>
  <si>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</si>
  <si>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</si>
  <si>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</si>
  <si>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</si>
  <si>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</si>
  <si>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</si>
  <si>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</si>
  <si>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</si>
  <si>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</si>
  <si>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</si>
  <si>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</si>
  <si>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</si>
  <si>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</si>
  <si>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</si>
  <si>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</si>
  <si>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</si>
  <si>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</si>
  <si>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</si>
  <si>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</si>
  <si>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</si>
  <si>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</si>
  <si>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</si>
  <si>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</si>
  <si>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</si>
  <si>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</si>
  <si>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</si>
  <si>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</si>
  <si>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</si>
  <si>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</si>
  <si>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</si>
  <si>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</si>
  <si>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</si>
  <si>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</si>
  <si>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</si>
  <si>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</si>
  <si>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</si>
  <si>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</si>
  <si>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</si>
  <si>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</si>
  <si>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</si>
  <si>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</si>
  <si>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</si>
  <si>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</si>
  <si>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</si>
  <si>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</si>
  <si>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</si>
  <si>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</si>
  <si>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</si>
  <si>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</si>
  <si>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</si>
  <si>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</si>
  <si>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</si>
  <si>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</si>
  <si>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</si>
  <si>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</si>
  <si>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</si>
  <si>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</si>
  <si>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</si>
  <si>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</si>
  <si>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</si>
  <si>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</si>
  <si>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</si>
  <si>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</si>
  <si>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</si>
  <si>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</si>
  <si>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</si>
  <si>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</si>
  <si>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</si>
  <si>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</si>
  <si>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</si>
  <si>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</si>
  <si>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</si>
  <si>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</si>
  <si>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</si>
  <si>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</si>
  <si>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</si>
  <si>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</si>
  <si>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</si>
  <si>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</si>
  <si>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</si>
  <si>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</si>
  <si>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</si>
  <si>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</si>
  <si>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</si>
  <si>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</si>
  <si>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</si>
  <si>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</si>
  <si>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</si>
  <si>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</si>
  <si>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</si>
  <si>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</si>
  <si>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</si>
  <si>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</si>
  <si>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</si>
  <si>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</si>
  <si>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</si>
  <si>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</si>
  <si>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</si>
  <si>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</si>
  <si>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</si>
  <si>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</si>
  <si>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</si>
  <si>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</si>
  <si>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</si>
  <si>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</si>
  <si>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</si>
  <si>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</si>
  <si>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</si>
  <si>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</si>
  <si>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</si>
  <si>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</si>
  <si>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</si>
  <si>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</si>
  <si>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</si>
  <si>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</si>
  <si>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</si>
  <si>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</si>
  <si>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</si>
  <si>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</si>
  <si>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</si>
  <si>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</si>
  <si>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</si>
  <si>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</si>
  <si>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</si>
  <si>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</si>
  <si>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</si>
  <si>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</si>
  <si>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</si>
  <si>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</si>
  <si>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</si>
  <si>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</si>
  <si>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</si>
  <si>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</si>
  <si>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</si>
  <si>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</si>
  <si>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</si>
  <si>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</si>
  <si>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</si>
  <si>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</si>
  <si>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</si>
  <si>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</si>
  <si>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</si>
  <si>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</si>
  <si>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</si>
  <si>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</si>
  <si>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</si>
  <si>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</si>
  <si>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</si>
  <si>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</si>
  <si>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</si>
  <si>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</si>
  <si>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</si>
  <si>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</si>
  <si>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</si>
  <si>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</si>
  <si>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</si>
  <si>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</si>
  <si>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</si>
  <si>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</si>
  <si>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</si>
  <si>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</si>
  <si>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</si>
  <si>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</si>
  <si>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</si>
  <si>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</si>
  <si>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</si>
  <si>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</si>
  <si>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</si>
  <si>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</si>
  <si>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</si>
  <si>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</si>
  <si>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</si>
  <si>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</si>
  <si>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</si>
  <si>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</si>
  <si>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</si>
  <si>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</si>
  <si>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</si>
  <si>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</si>
  <si>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</si>
  <si>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</si>
  <si>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</si>
  <si>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</si>
  <si>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</si>
  <si>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</si>
  <si>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</si>
  <si>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</si>
  <si>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</si>
  <si>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</si>
  <si>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</si>
  <si>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</si>
  <si>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</si>
  <si>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</si>
  <si>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</si>
  <si>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</si>
  <si>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</si>
  <si>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</si>
  <si>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</si>
  <si>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</si>
  <si>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</si>
  <si>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</si>
  <si>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</si>
  <si>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</si>
  <si>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</si>
  <si>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</si>
  <si>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</si>
  <si>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</si>
  <si>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</si>
  <si>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</si>
  <si>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</si>
  <si>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</si>
  <si>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</si>
  <si>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</si>
  <si>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</si>
  <si>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</si>
  <si>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</si>
  <si>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</si>
  <si>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</si>
  <si>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</si>
  <si>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</si>
  <si>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</si>
  <si>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</si>
  <si>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</si>
  <si>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</si>
  <si>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</si>
  <si>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</si>
  <si>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</si>
  <si>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</si>
  <si>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</si>
  <si>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</si>
  <si>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</si>
  <si>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</si>
  <si>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</si>
  <si>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</si>
  <si>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</si>
  <si>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</si>
  <si>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</si>
  <si>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</si>
  <si>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</si>
  <si>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</si>
  <si>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</si>
  <si>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</si>
  <si>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</si>
  <si>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</si>
  <si>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</si>
  <si>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</si>
  <si>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</si>
  <si>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</si>
  <si>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</si>
  <si>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</si>
  <si>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</si>
  <si>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</si>
  <si>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</si>
  <si>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</si>
  <si>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</si>
  <si>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</si>
  <si>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</si>
  <si>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</si>
  <si>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</si>
  <si>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</si>
  <si>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</si>
  <si>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</si>
  <si>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</si>
  <si>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</si>
  <si>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</si>
  <si>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</si>
  <si>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</si>
  <si>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</si>
  <si>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</si>
  <si>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</si>
  <si>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</si>
  <si>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</si>
  <si>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</si>
  <si>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</si>
  <si>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</si>
  <si>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</si>
  <si>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</si>
  <si>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</si>
  <si>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</si>
  <si>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</si>
  <si>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</si>
  <si>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</si>
  <si>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</si>
  <si>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</si>
  <si>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</si>
  <si>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</si>
  <si>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</si>
  <si>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</si>
  <si>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</si>
  <si>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</si>
  <si>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</si>
  <si>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</si>
  <si>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</si>
  <si>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</si>
  <si>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</si>
  <si>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</si>
  <si>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</si>
  <si>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</si>
  <si>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</si>
  <si>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</si>
  <si>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</si>
  <si>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</si>
  <si>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</si>
  <si>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</si>
  <si>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</si>
  <si>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</si>
  <si>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</si>
  <si>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</si>
  <si>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</si>
  <si>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</si>
  <si>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</si>
  <si>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</si>
  <si>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</si>
  <si>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</si>
  <si>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</si>
  <si>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</si>
  <si>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</si>
  <si>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</si>
  <si>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</si>
  <si>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</si>
  <si>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</si>
  <si>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</si>
  <si>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</si>
  <si>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</si>
  <si>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</si>
  <si>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</si>
  <si>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</si>
  <si>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</si>
  <si>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</si>
  <si>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</si>
  <si>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</si>
  <si>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</si>
  <si>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</si>
  <si>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</si>
  <si>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</si>
  <si>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</si>
  <si>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</si>
  <si>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</si>
  <si>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</si>
  <si>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</si>
  <si>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</si>
  <si>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</si>
  <si>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</si>
  <si>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</si>
  <si>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</si>
  <si>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</si>
  <si>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</si>
  <si>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</si>
  <si>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</si>
  <si>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</si>
  <si>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</si>
  <si>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</si>
  <si>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</si>
  <si>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</si>
  <si>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</si>
  <si>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</si>
  <si>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</si>
  <si>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</si>
  <si>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</si>
  <si>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</si>
  <si>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</si>
  <si>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</si>
  <si>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</si>
  <si>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</si>
  <si>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</si>
  <si>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</si>
  <si>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</si>
  <si>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</si>
  <si>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</si>
  <si>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</si>
  <si>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</si>
  <si>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</si>
  <si>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</si>
  <si>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</si>
  <si>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</si>
  <si>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</si>
  <si>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</si>
  <si>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</si>
  <si>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</si>
  <si>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</si>
  <si>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</si>
  <si>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</si>
  <si>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</si>
  <si>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</si>
  <si>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</si>
  <si>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</si>
  <si>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</si>
  <si>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</si>
  <si>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</si>
  <si>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</si>
  <si>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</si>
  <si>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</si>
  <si>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</si>
  <si>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</si>
  <si>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</si>
  <si>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</si>
  <si>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</si>
  <si>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</si>
  <si>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</si>
  <si>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</si>
  <si>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</si>
  <si>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</si>
  <si>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</si>
  <si>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</si>
  <si>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</si>
  <si>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</si>
  <si>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</si>
  <si>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</si>
  <si>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</si>
  <si>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</si>
  <si>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</si>
  <si>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</si>
  <si>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</si>
  <si>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</si>
  <si>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</si>
  <si>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</si>
  <si>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</si>
  <si>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</si>
  <si>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</si>
  <si>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</si>
  <si>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</si>
  <si>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</si>
  <si>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</si>
  <si>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</si>
  <si>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</si>
  <si>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</si>
  <si>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</si>
  <si>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</si>
  <si>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</si>
  <si>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</si>
  <si>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</si>
  <si>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</si>
  <si>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</si>
  <si>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</si>
  <si>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</si>
  <si>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</si>
  <si>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</si>
  <si>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</si>
  <si>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</si>
  <si>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</si>
  <si>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</si>
  <si>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</si>
  <si>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</si>
  <si>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</si>
  <si>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</si>
  <si>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</si>
  <si>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</si>
  <si>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</si>
  <si>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</si>
  <si>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</si>
  <si>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</si>
  <si>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</si>
  <si>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</si>
  <si>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</si>
  <si>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</si>
  <si>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</si>
  <si>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</si>
  <si>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</si>
  <si>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</si>
  <si>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</si>
  <si>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</si>
  <si>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</si>
  <si>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</si>
  <si>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</si>
  <si>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</si>
  <si>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</si>
  <si>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</si>
  <si>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</si>
  <si>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</si>
  <si>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</si>
  <si>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</si>
  <si>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</si>
  <si>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</si>
  <si>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</si>
  <si>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</si>
  <si>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</si>
  <si>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</si>
  <si>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</si>
  <si>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</si>
  <si>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</si>
  <si>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</si>
  <si>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</si>
  <si>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</si>
  <si>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</si>
  <si>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</si>
  <si>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</si>
  <si>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</si>
  <si>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</si>
  <si>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</si>
  <si>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</si>
  <si>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</si>
  <si>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</si>
  <si>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</si>
  <si>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</si>
  <si>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</si>
  <si>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</si>
  <si>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</si>
  <si>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</si>
  <si>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</si>
  <si>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</si>
  <si>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</si>
  <si>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</si>
  <si>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</si>
  <si>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</si>
  <si>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</si>
  <si>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</si>
  <si>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</si>
  <si>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</si>
  <si>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</si>
  <si>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</si>
  <si>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</si>
  <si>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</si>
  <si>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</si>
  <si>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</si>
  <si>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</si>
  <si>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</si>
  <si>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</si>
  <si>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</si>
  <si>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</si>
  <si>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</si>
  <si>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</si>
  <si>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</si>
  <si>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</si>
  <si>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</si>
  <si>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</si>
  <si>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</si>
  <si>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</si>
  <si>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</si>
  <si>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</si>
  <si>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</si>
  <si>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</si>
  <si>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</si>
  <si>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</si>
  <si>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</si>
  <si>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</si>
  <si>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</si>
  <si>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</si>
  <si>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</si>
  <si>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</si>
  <si>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</si>
  <si>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</si>
  <si>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</si>
  <si>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</si>
  <si>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</si>
  <si>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</si>
  <si>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</si>
  <si>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</si>
  <si>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</si>
  <si>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</si>
  <si>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</si>
  <si>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</si>
  <si>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</si>
  <si>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</si>
  <si>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</si>
  <si>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</si>
  <si>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</si>
  <si>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</si>
  <si>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</si>
  <si>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</si>
  <si>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</si>
  <si>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</si>
  <si>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</si>
  <si>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</si>
  <si>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</si>
  <si>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</si>
  <si>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</si>
  <si>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</si>
  <si>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</si>
  <si>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</si>
  <si>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</si>
  <si>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</si>
  <si>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</si>
  <si>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</si>
  <si>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</si>
  <si>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</si>
  <si>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</si>
  <si>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</si>
  <si>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</si>
  <si>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</si>
  <si>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</si>
  <si>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</si>
  <si>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</si>
  <si>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</si>
  <si>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</si>
  <si>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</si>
  <si>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</si>
  <si>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</si>
  <si>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</si>
  <si>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</si>
  <si>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</si>
  <si>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</si>
  <si>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</si>
  <si>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</si>
  <si>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</si>
  <si>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</si>
  <si>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</si>
  <si>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</si>
  <si>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</si>
  <si>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</si>
  <si>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</si>
  <si>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</si>
  <si>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</si>
  <si>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</si>
  <si>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</si>
  <si>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</si>
  <si>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</si>
  <si>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</si>
  <si>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</si>
  <si>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</si>
  <si>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</si>
  <si>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</si>
  <si>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</si>
  <si>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</si>
  <si>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</si>
  <si>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</si>
  <si>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</si>
  <si>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</si>
  <si>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</si>
  <si>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</si>
  <si>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</si>
  <si>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</si>
  <si>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</si>
  <si>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</si>
  <si>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</si>
  <si>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</si>
  <si>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</si>
  <si>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</si>
  <si>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</si>
  <si>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</si>
  <si>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</si>
  <si>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</si>
  <si>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</si>
  <si>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</si>
  <si>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</si>
  <si>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</si>
  <si>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</si>
  <si>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</si>
  <si>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</si>
  <si>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</si>
  <si>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</si>
  <si>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</si>
  <si>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</si>
  <si>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</si>
  <si>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</si>
  <si>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</si>
  <si>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</si>
  <si>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</si>
  <si>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</si>
  <si>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</si>
  <si>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</si>
  <si>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</si>
  <si>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</si>
  <si>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</si>
  <si>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</si>
  <si>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</si>
  <si>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</si>
  <si>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</si>
  <si>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</si>
  <si>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</si>
  <si>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</si>
  <si>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</si>
  <si>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</si>
  <si>
    <t>پارس 4100 تا 3180.5</t>
  </si>
  <si>
    <t>شاراک 1232 تا 503.3</t>
  </si>
  <si>
    <t>بررسی خرید وسبحان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</si>
  <si>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</si>
  <si>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</si>
  <si>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</si>
  <si>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</si>
  <si>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</si>
  <si>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</si>
  <si>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</si>
  <si>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</si>
  <si>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13/11/1397 11:48</t>
  </si>
  <si>
    <t>شاراک 2922 تا 502</t>
  </si>
  <si>
    <t>نسبت سکه به سهام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</si>
</sst>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5" borderId="0" xfId="0" applyFill="1" applyAlignment="1">
      <alignment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6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4592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4" workbookViewId="0">
      <selection activeCell="E53" sqref="E53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4657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4672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4672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4689</v>
      </c>
      <c r="B5" s="18">
        <v>-200000</v>
      </c>
      <c r="C5" s="18">
        <v>0</v>
      </c>
      <c r="D5" s="113">
        <f t="shared" si="0"/>
        <v>-200000</v>
      </c>
      <c r="E5" s="20" t="s">
        <v>4686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4703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4709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4709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4709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4709</v>
      </c>
      <c r="B10" s="18">
        <v>-51400</v>
      </c>
      <c r="C10" s="18">
        <v>0</v>
      </c>
      <c r="D10" s="113">
        <f t="shared" si="0"/>
        <v>-51400</v>
      </c>
      <c r="E10" s="19" t="s">
        <v>4716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4719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4719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4757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4757</v>
      </c>
      <c r="B14" s="18">
        <v>-80000</v>
      </c>
      <c r="C14" s="18">
        <v>0</v>
      </c>
      <c r="D14" s="113">
        <f t="shared" si="0"/>
        <v>-80000</v>
      </c>
      <c r="E14" s="20" t="s">
        <v>1135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4757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4766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4627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4649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4649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4657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4657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982822</v>
      </c>
      <c r="C32" s="113">
        <f>SUM(C2:C31)</f>
        <v>0</v>
      </c>
      <c r="D32" s="113">
        <f>SUM(D2:D31)</f>
        <v>982822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23576157</v>
      </c>
      <c r="H33" s="18">
        <f>SUM(H2:H31)</f>
        <v>0</v>
      </c>
      <c r="I33" s="18">
        <f>SUM(I2:I31)</f>
        <v>23576157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4713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4714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4715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4716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4732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4733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4764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4767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2095549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7" sqref="F30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1028</v>
      </c>
      <c r="H2" s="36">
        <f>IF(B2&gt;0,1,0)</f>
        <v>1</v>
      </c>
      <c r="I2" s="11">
        <f>B2*(G2-H2)</f>
        <v>17150900</v>
      </c>
      <c r="J2" s="53">
        <f>C2*(G2-H2)</f>
        <v>17150900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1027</v>
      </c>
      <c r="H3" s="36">
        <f t="shared" ref="H3:H66" si="2">IF(B3&gt;0,1,0)</f>
        <v>1</v>
      </c>
      <c r="I3" s="11">
        <f t="shared" ref="I3:I66" si="3">B3*(G3-H3)</f>
        <v>20417400000</v>
      </c>
      <c r="J3" s="53">
        <f t="shared" ref="J3:J66" si="4">C3*(G3-H3)</f>
        <v>11683062000</v>
      </c>
      <c r="K3" s="53">
        <f t="shared" ref="K3:K66" si="5">D3*(G3-H3)</f>
        <v>8734338000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1027</v>
      </c>
      <c r="H4" s="36">
        <f t="shared" si="2"/>
        <v>0</v>
      </c>
      <c r="I4" s="11">
        <f t="shared" si="3"/>
        <v>0</v>
      </c>
      <c r="J4" s="53">
        <f t="shared" si="4"/>
        <v>8729500</v>
      </c>
      <c r="K4" s="53">
        <f t="shared" si="5"/>
        <v>-8729500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1025</v>
      </c>
      <c r="H5" s="36">
        <f t="shared" si="2"/>
        <v>1</v>
      </c>
      <c r="I5" s="11">
        <f t="shared" si="3"/>
        <v>2048000000</v>
      </c>
      <c r="J5" s="53">
        <f t="shared" si="4"/>
        <v>0</v>
      </c>
      <c r="K5" s="53">
        <f t="shared" si="5"/>
        <v>2048000000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1018</v>
      </c>
      <c r="H6" s="36">
        <f t="shared" si="2"/>
        <v>0</v>
      </c>
      <c r="I6" s="11">
        <f t="shared" si="3"/>
        <v>-5090000</v>
      </c>
      <c r="J6" s="53">
        <f t="shared" si="4"/>
        <v>0</v>
      </c>
      <c r="K6" s="53">
        <f t="shared" si="5"/>
        <v>-5090000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1014</v>
      </c>
      <c r="H7" s="36">
        <f t="shared" si="2"/>
        <v>0</v>
      </c>
      <c r="I7" s="11">
        <f t="shared" si="3"/>
        <v>-1217307000</v>
      </c>
      <c r="J7" s="53">
        <f t="shared" si="4"/>
        <v>0</v>
      </c>
      <c r="K7" s="53">
        <f t="shared" si="5"/>
        <v>-1217307000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1013</v>
      </c>
      <c r="H8" s="36">
        <f t="shared" si="2"/>
        <v>0</v>
      </c>
      <c r="I8" s="11">
        <f t="shared" si="3"/>
        <v>-202600000</v>
      </c>
      <c r="J8" s="53">
        <f t="shared" si="4"/>
        <v>0</v>
      </c>
      <c r="K8" s="53">
        <f t="shared" si="5"/>
        <v>-202600000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1011</v>
      </c>
      <c r="H9" s="36">
        <f t="shared" si="2"/>
        <v>0</v>
      </c>
      <c r="I9" s="11">
        <f t="shared" si="3"/>
        <v>-713260500</v>
      </c>
      <c r="J9" s="53">
        <f t="shared" si="4"/>
        <v>0</v>
      </c>
      <c r="K9" s="53">
        <f t="shared" si="5"/>
        <v>-713260500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1002</v>
      </c>
      <c r="H10" s="36">
        <f t="shared" si="2"/>
        <v>0</v>
      </c>
      <c r="I10" s="11">
        <f t="shared" si="3"/>
        <v>-200400000</v>
      </c>
      <c r="J10" s="53">
        <f t="shared" si="4"/>
        <v>0</v>
      </c>
      <c r="K10" s="53">
        <f t="shared" si="5"/>
        <v>-200400000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1002</v>
      </c>
      <c r="H11" s="36">
        <f t="shared" si="2"/>
        <v>1</v>
      </c>
      <c r="I11" s="11">
        <f t="shared" si="3"/>
        <v>1001000000</v>
      </c>
      <c r="J11" s="53">
        <f t="shared" si="4"/>
        <v>0</v>
      </c>
      <c r="K11" s="53">
        <f t="shared" si="5"/>
        <v>1001000000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998</v>
      </c>
      <c r="H12" s="36">
        <f t="shared" si="2"/>
        <v>0</v>
      </c>
      <c r="I12" s="11">
        <f t="shared" si="3"/>
        <v>-299400000</v>
      </c>
      <c r="J12" s="53">
        <f t="shared" si="4"/>
        <v>0</v>
      </c>
      <c r="K12" s="53">
        <f t="shared" si="5"/>
        <v>-299400000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993</v>
      </c>
      <c r="H13" s="36">
        <f t="shared" si="2"/>
        <v>0</v>
      </c>
      <c r="I13" s="11">
        <f t="shared" si="3"/>
        <v>-61566000</v>
      </c>
      <c r="J13" s="53">
        <f t="shared" si="4"/>
        <v>0</v>
      </c>
      <c r="K13" s="53">
        <f t="shared" si="5"/>
        <v>-61566000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993</v>
      </c>
      <c r="H14" s="36">
        <f t="shared" si="2"/>
        <v>1</v>
      </c>
      <c r="I14" s="11">
        <f t="shared" si="3"/>
        <v>1984000000</v>
      </c>
      <c r="J14" s="53">
        <f t="shared" si="4"/>
        <v>0</v>
      </c>
      <c r="K14" s="53">
        <f t="shared" si="5"/>
        <v>1984000000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992</v>
      </c>
      <c r="H15" s="36">
        <f t="shared" si="2"/>
        <v>1</v>
      </c>
      <c r="I15" s="11">
        <f t="shared" si="3"/>
        <v>1783800000</v>
      </c>
      <c r="J15" s="53">
        <f t="shared" si="4"/>
        <v>0</v>
      </c>
      <c r="K15" s="53">
        <f t="shared" si="5"/>
        <v>1783800000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992</v>
      </c>
      <c r="H16" s="36">
        <f t="shared" si="2"/>
        <v>0</v>
      </c>
      <c r="I16" s="11">
        <f t="shared" si="3"/>
        <v>-198400000</v>
      </c>
      <c r="J16" s="53">
        <f t="shared" si="4"/>
        <v>0</v>
      </c>
      <c r="K16" s="53">
        <f t="shared" si="5"/>
        <v>-198400000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988</v>
      </c>
      <c r="H17" s="36">
        <f t="shared" si="2"/>
        <v>0</v>
      </c>
      <c r="I17" s="11">
        <f t="shared" si="3"/>
        <v>-1976000000</v>
      </c>
      <c r="J17" s="53">
        <f t="shared" si="4"/>
        <v>0</v>
      </c>
      <c r="K17" s="53">
        <f t="shared" si="5"/>
        <v>-1976000000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987</v>
      </c>
      <c r="H18" s="36">
        <f t="shared" si="2"/>
        <v>0</v>
      </c>
      <c r="I18" s="11">
        <f t="shared" si="3"/>
        <v>-296100000</v>
      </c>
      <c r="J18" s="53">
        <f t="shared" si="4"/>
        <v>0</v>
      </c>
      <c r="K18" s="53">
        <f t="shared" si="5"/>
        <v>-296100000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986</v>
      </c>
      <c r="H19" s="36">
        <f t="shared" si="2"/>
        <v>0</v>
      </c>
      <c r="I19" s="11">
        <f t="shared" si="3"/>
        <v>-197200000</v>
      </c>
      <c r="J19" s="53">
        <f t="shared" si="4"/>
        <v>0</v>
      </c>
      <c r="K19" s="53">
        <f t="shared" si="5"/>
        <v>-197200000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984</v>
      </c>
      <c r="H20" s="36">
        <f t="shared" si="2"/>
        <v>1</v>
      </c>
      <c r="I20" s="11">
        <f t="shared" si="3"/>
        <v>266480487</v>
      </c>
      <c r="J20" s="53">
        <f t="shared" si="4"/>
        <v>144945316</v>
      </c>
      <c r="K20" s="53">
        <f t="shared" si="5"/>
        <v>121535171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982</v>
      </c>
      <c r="H21" s="36">
        <f t="shared" si="2"/>
        <v>0</v>
      </c>
      <c r="I21" s="11">
        <f t="shared" si="3"/>
        <v>-1478597400</v>
      </c>
      <c r="J21" s="53">
        <f t="shared" si="4"/>
        <v>0</v>
      </c>
      <c r="K21" s="53">
        <f t="shared" si="5"/>
        <v>-1478597400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979</v>
      </c>
      <c r="H22" s="36">
        <f t="shared" si="2"/>
        <v>1</v>
      </c>
      <c r="I22" s="11">
        <f t="shared" si="3"/>
        <v>2934000000</v>
      </c>
      <c r="J22" s="53">
        <f t="shared" si="4"/>
        <v>0</v>
      </c>
      <c r="K22" s="53">
        <f t="shared" si="5"/>
        <v>2934000000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978</v>
      </c>
      <c r="H23" s="36">
        <f t="shared" si="2"/>
        <v>1</v>
      </c>
      <c r="I23" s="11">
        <f t="shared" si="3"/>
        <v>977000000</v>
      </c>
      <c r="J23" s="53">
        <f t="shared" si="4"/>
        <v>0</v>
      </c>
      <c r="K23" s="53">
        <f t="shared" si="5"/>
        <v>977000000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977</v>
      </c>
      <c r="H24" s="36">
        <f t="shared" si="2"/>
        <v>0</v>
      </c>
      <c r="I24" s="11">
        <f t="shared" si="3"/>
        <v>-2931879300</v>
      </c>
      <c r="J24" s="53">
        <f t="shared" si="4"/>
        <v>0</v>
      </c>
      <c r="K24" s="53">
        <f t="shared" si="5"/>
        <v>-2931879300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962</v>
      </c>
      <c r="H25" s="36">
        <f t="shared" si="2"/>
        <v>1</v>
      </c>
      <c r="I25" s="11">
        <f t="shared" si="3"/>
        <v>1441500000</v>
      </c>
      <c r="J25" s="53">
        <f t="shared" si="4"/>
        <v>0</v>
      </c>
      <c r="K25" s="53">
        <f t="shared" si="5"/>
        <v>1441500000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954</v>
      </c>
      <c r="H26" s="36">
        <f t="shared" si="2"/>
        <v>0</v>
      </c>
      <c r="I26" s="11">
        <f t="shared" si="3"/>
        <v>-156456000</v>
      </c>
      <c r="J26" s="53">
        <f t="shared" si="4"/>
        <v>0</v>
      </c>
      <c r="K26" s="53">
        <f t="shared" si="5"/>
        <v>-156456000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953</v>
      </c>
      <c r="H27" s="36">
        <f t="shared" si="2"/>
        <v>1</v>
      </c>
      <c r="I27" s="11">
        <f t="shared" si="3"/>
        <v>189822136</v>
      </c>
      <c r="J27" s="53">
        <f t="shared" si="4"/>
        <v>102257176</v>
      </c>
      <c r="K27" s="53">
        <f t="shared" si="5"/>
        <v>87564960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951</v>
      </c>
      <c r="H28" s="36">
        <f t="shared" si="2"/>
        <v>0</v>
      </c>
      <c r="I28" s="11">
        <f t="shared" si="3"/>
        <v>-210171000</v>
      </c>
      <c r="J28" s="53">
        <f t="shared" si="4"/>
        <v>-210171000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951</v>
      </c>
      <c r="H29" s="36">
        <f t="shared" si="2"/>
        <v>0</v>
      </c>
      <c r="I29" s="11">
        <f t="shared" si="3"/>
        <v>-475975500</v>
      </c>
      <c r="J29" s="53">
        <f t="shared" si="4"/>
        <v>0</v>
      </c>
      <c r="K29" s="53">
        <f t="shared" si="5"/>
        <v>-475975500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951</v>
      </c>
      <c r="H30" s="36">
        <f t="shared" si="2"/>
        <v>0</v>
      </c>
      <c r="I30" s="11">
        <f t="shared" si="3"/>
        <v>-14265000000</v>
      </c>
      <c r="J30" s="53">
        <f t="shared" si="4"/>
        <v>-14265000000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934</v>
      </c>
      <c r="H31" s="36">
        <f t="shared" si="2"/>
        <v>0</v>
      </c>
      <c r="I31" s="11">
        <f t="shared" si="3"/>
        <v>-2812180600</v>
      </c>
      <c r="J31" s="53">
        <f t="shared" si="4"/>
        <v>0</v>
      </c>
      <c r="K31" s="53">
        <f t="shared" si="5"/>
        <v>-2812180600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932</v>
      </c>
      <c r="H32" s="36">
        <f t="shared" si="2"/>
        <v>0</v>
      </c>
      <c r="I32" s="11">
        <f t="shared" si="3"/>
        <v>-2801498800</v>
      </c>
      <c r="J32" s="53">
        <f t="shared" si="4"/>
        <v>0</v>
      </c>
      <c r="K32" s="53">
        <f t="shared" si="5"/>
        <v>-2801498800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931</v>
      </c>
      <c r="H33" s="36">
        <f t="shared" si="2"/>
        <v>0</v>
      </c>
      <c r="I33" s="11">
        <f t="shared" si="3"/>
        <v>-833710500</v>
      </c>
      <c r="J33" s="53">
        <f t="shared" si="4"/>
        <v>0</v>
      </c>
      <c r="K33" s="53">
        <f t="shared" si="5"/>
        <v>-833710500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931</v>
      </c>
      <c r="H34" s="36">
        <f t="shared" si="2"/>
        <v>0</v>
      </c>
      <c r="I34" s="11">
        <f t="shared" si="3"/>
        <v>0</v>
      </c>
      <c r="J34" s="53">
        <f t="shared" si="4"/>
        <v>931000000</v>
      </c>
      <c r="K34" s="53">
        <f t="shared" si="5"/>
        <v>-931000000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922</v>
      </c>
      <c r="H35" s="36">
        <f t="shared" si="2"/>
        <v>1</v>
      </c>
      <c r="I35" s="11">
        <f t="shared" si="3"/>
        <v>48326712</v>
      </c>
      <c r="J35" s="53">
        <f t="shared" si="4"/>
        <v>-19951623</v>
      </c>
      <c r="K35" s="53">
        <f t="shared" si="5"/>
        <v>68278335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922</v>
      </c>
      <c r="H36" s="36">
        <f t="shared" si="2"/>
        <v>0</v>
      </c>
      <c r="I36" s="11">
        <f t="shared" si="3"/>
        <v>0</v>
      </c>
      <c r="J36" s="53">
        <f t="shared" si="4"/>
        <v>19973286</v>
      </c>
      <c r="K36" s="53">
        <f t="shared" si="5"/>
        <v>-19973286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912</v>
      </c>
      <c r="H37" s="36">
        <f t="shared" si="2"/>
        <v>0</v>
      </c>
      <c r="I37" s="11">
        <f t="shared" si="3"/>
        <v>-50160000</v>
      </c>
      <c r="J37" s="53">
        <f t="shared" si="4"/>
        <v>0</v>
      </c>
      <c r="K37" s="53">
        <f t="shared" si="5"/>
        <v>-50160000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911</v>
      </c>
      <c r="H38" s="36">
        <f t="shared" si="2"/>
        <v>1</v>
      </c>
      <c r="I38" s="11">
        <f t="shared" si="3"/>
        <v>2730000000</v>
      </c>
      <c r="J38" s="53">
        <f t="shared" si="4"/>
        <v>2730000000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910</v>
      </c>
      <c r="H39" s="36">
        <f t="shared" si="2"/>
        <v>1</v>
      </c>
      <c r="I39" s="11">
        <f t="shared" si="3"/>
        <v>2272500000</v>
      </c>
      <c r="J39" s="53">
        <f t="shared" si="4"/>
        <v>2272500000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910</v>
      </c>
      <c r="H40" s="36">
        <f t="shared" si="2"/>
        <v>0</v>
      </c>
      <c r="I40" s="11">
        <f t="shared" si="3"/>
        <v>-45500000</v>
      </c>
      <c r="J40" s="53">
        <f t="shared" si="4"/>
        <v>0</v>
      </c>
      <c r="K40" s="53">
        <f t="shared" si="5"/>
        <v>-45500000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910</v>
      </c>
      <c r="H41" s="36">
        <f t="shared" si="2"/>
        <v>1</v>
      </c>
      <c r="I41" s="11">
        <f t="shared" si="3"/>
        <v>2727000000</v>
      </c>
      <c r="J41" s="53">
        <f t="shared" si="4"/>
        <v>0</v>
      </c>
      <c r="K41" s="53">
        <f t="shared" si="5"/>
        <v>2727000000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907</v>
      </c>
      <c r="H42" s="36">
        <f t="shared" si="2"/>
        <v>0</v>
      </c>
      <c r="I42" s="11">
        <f t="shared" si="3"/>
        <v>-80904400</v>
      </c>
      <c r="J42" s="53">
        <f t="shared" si="4"/>
        <v>0</v>
      </c>
      <c r="K42" s="53">
        <f t="shared" si="5"/>
        <v>-80904400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903</v>
      </c>
      <c r="H43" s="36">
        <f t="shared" si="2"/>
        <v>0</v>
      </c>
      <c r="I43" s="11">
        <f t="shared" si="3"/>
        <v>-180600000</v>
      </c>
      <c r="J43" s="53">
        <f t="shared" si="4"/>
        <v>0</v>
      </c>
      <c r="K43" s="53">
        <f t="shared" si="5"/>
        <v>-180600000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901</v>
      </c>
      <c r="H44" s="36">
        <f t="shared" si="2"/>
        <v>0</v>
      </c>
      <c r="I44" s="11">
        <f t="shared" si="3"/>
        <v>-180200000</v>
      </c>
      <c r="J44" s="53">
        <f t="shared" si="4"/>
        <v>0</v>
      </c>
      <c r="K44" s="53">
        <f t="shared" si="5"/>
        <v>-180200000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901</v>
      </c>
      <c r="H45" s="36">
        <f t="shared" si="2"/>
        <v>0</v>
      </c>
      <c r="I45" s="11">
        <f t="shared" si="3"/>
        <v>-504560000</v>
      </c>
      <c r="J45" s="53">
        <f t="shared" si="4"/>
        <v>0</v>
      </c>
      <c r="K45" s="53">
        <f t="shared" si="5"/>
        <v>-504560000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897</v>
      </c>
      <c r="H46" s="36">
        <f t="shared" si="2"/>
        <v>0</v>
      </c>
      <c r="I46" s="11">
        <f t="shared" si="3"/>
        <v>-632833500</v>
      </c>
      <c r="J46" s="53">
        <f t="shared" si="4"/>
        <v>0</v>
      </c>
      <c r="K46" s="53">
        <f t="shared" si="5"/>
        <v>-632833500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891</v>
      </c>
      <c r="H47" s="36">
        <f t="shared" si="2"/>
        <v>1</v>
      </c>
      <c r="I47" s="11">
        <f t="shared" si="3"/>
        <v>36671560</v>
      </c>
      <c r="J47" s="53">
        <f t="shared" si="4"/>
        <v>5974570</v>
      </c>
      <c r="K47" s="53">
        <f t="shared" si="5"/>
        <v>30696990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891</v>
      </c>
      <c r="H48" s="36">
        <f t="shared" si="2"/>
        <v>1</v>
      </c>
      <c r="I48" s="11">
        <f t="shared" si="3"/>
        <v>1517183000</v>
      </c>
      <c r="J48" s="53">
        <f t="shared" si="4"/>
        <v>0</v>
      </c>
      <c r="K48" s="53">
        <f t="shared" si="5"/>
        <v>1517183000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882</v>
      </c>
      <c r="H49" s="36">
        <f t="shared" si="2"/>
        <v>0</v>
      </c>
      <c r="I49" s="11">
        <f t="shared" si="3"/>
        <v>-136710000</v>
      </c>
      <c r="J49" s="53">
        <f t="shared" si="4"/>
        <v>0</v>
      </c>
      <c r="K49" s="53">
        <f t="shared" si="5"/>
        <v>-136710000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882</v>
      </c>
      <c r="H50" s="36">
        <f t="shared" si="2"/>
        <v>0</v>
      </c>
      <c r="I50" s="11">
        <f t="shared" si="3"/>
        <v>-121716000</v>
      </c>
      <c r="J50" s="53">
        <f t="shared" si="4"/>
        <v>0</v>
      </c>
      <c r="K50" s="53">
        <f t="shared" si="5"/>
        <v>-121716000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882</v>
      </c>
      <c r="H51" s="36">
        <f t="shared" si="2"/>
        <v>0</v>
      </c>
      <c r="I51" s="11">
        <f t="shared" si="3"/>
        <v>-652680000</v>
      </c>
      <c r="J51" s="53">
        <f t="shared" si="4"/>
        <v>0</v>
      </c>
      <c r="K51" s="53">
        <f t="shared" si="5"/>
        <v>-652680000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882</v>
      </c>
      <c r="H52" s="36">
        <f t="shared" si="2"/>
        <v>0</v>
      </c>
      <c r="I52" s="11">
        <f t="shared" si="3"/>
        <v>-176400000</v>
      </c>
      <c r="J52" s="53">
        <f t="shared" si="4"/>
        <v>0</v>
      </c>
      <c r="K52" s="53">
        <f t="shared" si="5"/>
        <v>-176400000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881</v>
      </c>
      <c r="H53" s="36">
        <f t="shared" si="2"/>
        <v>0</v>
      </c>
      <c r="I53" s="11">
        <f t="shared" si="3"/>
        <v>-929455000</v>
      </c>
      <c r="J53" s="53">
        <f t="shared" si="4"/>
        <v>0</v>
      </c>
      <c r="K53" s="53">
        <f t="shared" si="5"/>
        <v>-929455000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881</v>
      </c>
      <c r="H54" s="36">
        <f t="shared" si="2"/>
        <v>0</v>
      </c>
      <c r="I54" s="11">
        <f t="shared" si="3"/>
        <v>-176200000</v>
      </c>
      <c r="J54" s="53">
        <f t="shared" si="4"/>
        <v>0</v>
      </c>
      <c r="K54" s="53">
        <f t="shared" si="5"/>
        <v>-176200000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881</v>
      </c>
      <c r="H55" s="36">
        <f t="shared" si="2"/>
        <v>0</v>
      </c>
      <c r="I55" s="11">
        <f t="shared" si="3"/>
        <v>-881440500</v>
      </c>
      <c r="J55" s="53">
        <f t="shared" si="4"/>
        <v>0</v>
      </c>
      <c r="K55" s="53">
        <f t="shared" si="5"/>
        <v>-881440500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881</v>
      </c>
      <c r="H56" s="36">
        <f t="shared" si="2"/>
        <v>0</v>
      </c>
      <c r="I56" s="11">
        <f t="shared" si="3"/>
        <v>-33478000</v>
      </c>
      <c r="J56" s="53">
        <f t="shared" si="4"/>
        <v>0</v>
      </c>
      <c r="K56" s="53">
        <f t="shared" si="5"/>
        <v>-33478000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881</v>
      </c>
      <c r="H57" s="36">
        <f t="shared" si="2"/>
        <v>0</v>
      </c>
      <c r="I57" s="11">
        <f t="shared" si="3"/>
        <v>-92505000</v>
      </c>
      <c r="J57" s="53">
        <f t="shared" si="4"/>
        <v>0</v>
      </c>
      <c r="K57" s="53">
        <f t="shared" si="5"/>
        <v>-92505000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881</v>
      </c>
      <c r="H58" s="36">
        <f t="shared" si="2"/>
        <v>0</v>
      </c>
      <c r="I58" s="11">
        <f t="shared" si="3"/>
        <v>-52860000</v>
      </c>
      <c r="J58" s="53">
        <f t="shared" si="4"/>
        <v>0</v>
      </c>
      <c r="K58" s="53">
        <f t="shared" si="5"/>
        <v>-52860000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878</v>
      </c>
      <c r="H59" s="36">
        <f t="shared" si="2"/>
        <v>1</v>
      </c>
      <c r="I59" s="11">
        <f t="shared" si="3"/>
        <v>877000000</v>
      </c>
      <c r="J59" s="53">
        <f t="shared" si="4"/>
        <v>877000000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877</v>
      </c>
      <c r="H60" s="36">
        <f t="shared" si="2"/>
        <v>1</v>
      </c>
      <c r="I60" s="11">
        <f t="shared" si="3"/>
        <v>3066000000</v>
      </c>
      <c r="J60" s="53">
        <f t="shared" si="4"/>
        <v>3066000000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875</v>
      </c>
      <c r="H61" s="36">
        <f t="shared" si="2"/>
        <v>1</v>
      </c>
      <c r="I61" s="11">
        <f t="shared" si="3"/>
        <v>874000000</v>
      </c>
      <c r="J61" s="53">
        <f t="shared" si="4"/>
        <v>874000000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875</v>
      </c>
      <c r="H62" s="36">
        <f t="shared" si="2"/>
        <v>1</v>
      </c>
      <c r="I62" s="11">
        <f t="shared" si="3"/>
        <v>2622000000</v>
      </c>
      <c r="J62" s="53">
        <f t="shared" si="4"/>
        <v>2622000000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873</v>
      </c>
      <c r="H63" s="36">
        <f t="shared" si="2"/>
        <v>0</v>
      </c>
      <c r="I63" s="11">
        <f t="shared" si="3"/>
        <v>-174600000</v>
      </c>
      <c r="J63" s="53">
        <f t="shared" si="4"/>
        <v>0</v>
      </c>
      <c r="K63" s="53">
        <f t="shared" si="5"/>
        <v>-174600000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868</v>
      </c>
      <c r="H64" s="36">
        <f t="shared" si="2"/>
        <v>0</v>
      </c>
      <c r="I64" s="11">
        <f t="shared" si="3"/>
        <v>-43400000</v>
      </c>
      <c r="J64" s="53">
        <f t="shared" si="4"/>
        <v>0</v>
      </c>
      <c r="K64" s="53">
        <f t="shared" si="5"/>
        <v>-43400000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864</v>
      </c>
      <c r="H65" s="36">
        <f t="shared" si="2"/>
        <v>0</v>
      </c>
      <c r="I65" s="11">
        <f t="shared" si="3"/>
        <v>-172800000</v>
      </c>
      <c r="J65" s="53">
        <f t="shared" si="4"/>
        <v>0</v>
      </c>
      <c r="K65" s="53">
        <f t="shared" si="5"/>
        <v>-172800000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861</v>
      </c>
      <c r="H66" s="36">
        <f t="shared" si="2"/>
        <v>0</v>
      </c>
      <c r="I66" s="11">
        <f t="shared" si="3"/>
        <v>-146370000</v>
      </c>
      <c r="J66" s="53">
        <f t="shared" si="4"/>
        <v>0</v>
      </c>
      <c r="K66" s="53">
        <f t="shared" si="5"/>
        <v>-146370000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860</v>
      </c>
      <c r="H67" s="36">
        <f t="shared" ref="H67:H131" si="8">IF(B67&gt;0,1,0)</f>
        <v>1</v>
      </c>
      <c r="I67" s="11">
        <f t="shared" ref="I67:I119" si="9">B67*(G67-H67)</f>
        <v>78448175</v>
      </c>
      <c r="J67" s="53">
        <f t="shared" ref="J67:J131" si="10">C67*(G67-H67)</f>
        <v>56456057</v>
      </c>
      <c r="K67" s="53">
        <f t="shared" ref="K67:K131" si="11">D67*(G67-H67)</f>
        <v>21992118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842</v>
      </c>
      <c r="H68" s="36">
        <f t="shared" si="8"/>
        <v>0</v>
      </c>
      <c r="I68" s="11">
        <f t="shared" si="9"/>
        <v>-122090000</v>
      </c>
      <c r="J68" s="53">
        <f t="shared" si="10"/>
        <v>0</v>
      </c>
      <c r="K68" s="53">
        <f t="shared" si="11"/>
        <v>-122090000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835</v>
      </c>
      <c r="H69" s="36">
        <f t="shared" si="8"/>
        <v>1</v>
      </c>
      <c r="I69" s="11">
        <f t="shared" si="9"/>
        <v>817320000</v>
      </c>
      <c r="J69" s="53">
        <f t="shared" si="10"/>
        <v>0</v>
      </c>
      <c r="K69" s="53">
        <f t="shared" si="11"/>
        <v>817320000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832</v>
      </c>
      <c r="H70" s="36">
        <f t="shared" si="8"/>
        <v>0</v>
      </c>
      <c r="I70" s="11">
        <f t="shared" si="9"/>
        <v>-38272000</v>
      </c>
      <c r="J70" s="53">
        <f t="shared" si="10"/>
        <v>0</v>
      </c>
      <c r="K70" s="53">
        <f t="shared" si="11"/>
        <v>-38272000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830</v>
      </c>
      <c r="H71" s="36">
        <f t="shared" si="8"/>
        <v>1</v>
      </c>
      <c r="I71" s="11">
        <f t="shared" si="9"/>
        <v>95615202</v>
      </c>
      <c r="J71" s="53">
        <f t="shared" si="10"/>
        <v>86060148</v>
      </c>
      <c r="K71" s="53">
        <f t="shared" si="11"/>
        <v>9555054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829</v>
      </c>
      <c r="H72" s="36">
        <f t="shared" si="8"/>
        <v>0</v>
      </c>
      <c r="I72" s="11">
        <f t="shared" si="9"/>
        <v>-125982301</v>
      </c>
      <c r="J72" s="53">
        <f t="shared" si="10"/>
        <v>0</v>
      </c>
      <c r="K72" s="53">
        <f t="shared" si="11"/>
        <v>-125982301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828</v>
      </c>
      <c r="H73" s="36">
        <f t="shared" si="8"/>
        <v>0</v>
      </c>
      <c r="I73" s="11">
        <f t="shared" si="9"/>
        <v>-666954000</v>
      </c>
      <c r="J73" s="53">
        <f t="shared" si="10"/>
        <v>0</v>
      </c>
      <c r="K73" s="53">
        <f t="shared" si="11"/>
        <v>-666954000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821</v>
      </c>
      <c r="H74" s="36">
        <f t="shared" si="8"/>
        <v>1</v>
      </c>
      <c r="I74" s="11">
        <f t="shared" si="9"/>
        <v>5735900000</v>
      </c>
      <c r="J74" s="53">
        <f t="shared" si="10"/>
        <v>0</v>
      </c>
      <c r="K74" s="53">
        <f t="shared" si="11"/>
        <v>5735900000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820</v>
      </c>
      <c r="H75" s="36">
        <f t="shared" si="8"/>
        <v>1</v>
      </c>
      <c r="I75" s="11">
        <f t="shared" si="9"/>
        <v>2457000000</v>
      </c>
      <c r="J75" s="53">
        <f t="shared" si="10"/>
        <v>0</v>
      </c>
      <c r="K75" s="53">
        <f t="shared" si="11"/>
        <v>2457000000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818</v>
      </c>
      <c r="H76" s="36">
        <f t="shared" si="8"/>
        <v>1</v>
      </c>
      <c r="I76" s="11">
        <f t="shared" si="9"/>
        <v>2451000000</v>
      </c>
      <c r="J76" s="53">
        <f t="shared" si="10"/>
        <v>0</v>
      </c>
      <c r="K76" s="53">
        <f t="shared" si="11"/>
        <v>2451000000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817</v>
      </c>
      <c r="H77" s="36">
        <f t="shared" si="8"/>
        <v>1</v>
      </c>
      <c r="I77" s="11">
        <f t="shared" si="9"/>
        <v>2448000000</v>
      </c>
      <c r="J77" s="53">
        <f t="shared" si="10"/>
        <v>0</v>
      </c>
      <c r="K77" s="53">
        <f t="shared" si="11"/>
        <v>2448000000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816</v>
      </c>
      <c r="H78" s="36">
        <f t="shared" si="8"/>
        <v>0</v>
      </c>
      <c r="I78" s="11">
        <f t="shared" si="9"/>
        <v>-2611200000</v>
      </c>
      <c r="J78" s="53">
        <f t="shared" si="10"/>
        <v>-2611200000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815</v>
      </c>
      <c r="H79" s="36">
        <f t="shared" si="8"/>
        <v>0</v>
      </c>
      <c r="I79" s="11">
        <f t="shared" si="9"/>
        <v>-652000000</v>
      </c>
      <c r="J79" s="53">
        <f t="shared" si="10"/>
        <v>-652000000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814</v>
      </c>
      <c r="H80" s="36">
        <f t="shared" si="8"/>
        <v>0</v>
      </c>
      <c r="I80" s="11">
        <f t="shared" si="9"/>
        <v>-39391902</v>
      </c>
      <c r="J80" s="53">
        <f t="shared" si="10"/>
        <v>0</v>
      </c>
      <c r="K80" s="53">
        <f t="shared" si="11"/>
        <v>-39391902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813</v>
      </c>
      <c r="H81" s="36">
        <f t="shared" si="8"/>
        <v>0</v>
      </c>
      <c r="I81" s="11">
        <f t="shared" si="9"/>
        <v>-113820000</v>
      </c>
      <c r="J81" s="53">
        <f t="shared" si="10"/>
        <v>0</v>
      </c>
      <c r="K81" s="53">
        <f t="shared" si="11"/>
        <v>-113820000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812</v>
      </c>
      <c r="H82" s="36">
        <f t="shared" si="8"/>
        <v>0</v>
      </c>
      <c r="I82" s="11">
        <f t="shared" si="9"/>
        <v>-203000000</v>
      </c>
      <c r="J82" s="53">
        <f t="shared" si="10"/>
        <v>0</v>
      </c>
      <c r="K82" s="53">
        <f t="shared" si="11"/>
        <v>-203000000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811</v>
      </c>
      <c r="H83" s="36">
        <f t="shared" si="8"/>
        <v>0</v>
      </c>
      <c r="I83" s="11">
        <f t="shared" si="9"/>
        <v>-162200000</v>
      </c>
      <c r="J83" s="53">
        <f t="shared" si="10"/>
        <v>0</v>
      </c>
      <c r="K83" s="53">
        <f t="shared" si="11"/>
        <v>-162200000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808</v>
      </c>
      <c r="H84" s="36">
        <f t="shared" si="8"/>
        <v>1</v>
      </c>
      <c r="I84" s="11">
        <f t="shared" si="9"/>
        <v>1319606400</v>
      </c>
      <c r="J84" s="53">
        <f t="shared" si="10"/>
        <v>0</v>
      </c>
      <c r="K84" s="53">
        <f t="shared" si="11"/>
        <v>1319606400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804</v>
      </c>
      <c r="H85" s="36">
        <f t="shared" si="8"/>
        <v>1</v>
      </c>
      <c r="I85" s="11">
        <f t="shared" si="9"/>
        <v>2007500000</v>
      </c>
      <c r="J85" s="53">
        <f t="shared" si="10"/>
        <v>0</v>
      </c>
      <c r="K85" s="53">
        <f t="shared" si="11"/>
        <v>2007500000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800</v>
      </c>
      <c r="H86" s="36">
        <f t="shared" si="8"/>
        <v>1</v>
      </c>
      <c r="I86" s="11">
        <f t="shared" si="9"/>
        <v>148853700</v>
      </c>
      <c r="J86" s="53">
        <f t="shared" si="10"/>
        <v>67875050</v>
      </c>
      <c r="K86" s="53">
        <f t="shared" si="11"/>
        <v>80978650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797</v>
      </c>
      <c r="H87" s="36">
        <f t="shared" si="8"/>
        <v>0</v>
      </c>
      <c r="I87" s="11">
        <f t="shared" si="9"/>
        <v>-159400000</v>
      </c>
      <c r="J87" s="53">
        <f t="shared" si="10"/>
        <v>0</v>
      </c>
      <c r="K87" s="53">
        <f t="shared" si="11"/>
        <v>-159400000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796</v>
      </c>
      <c r="H88" s="36">
        <f t="shared" si="8"/>
        <v>0</v>
      </c>
      <c r="I88" s="11">
        <f t="shared" si="9"/>
        <v>-93928000</v>
      </c>
      <c r="J88" s="53">
        <f t="shared" si="10"/>
        <v>-54924000</v>
      </c>
      <c r="K88" s="53">
        <f t="shared" si="11"/>
        <v>-39004000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788</v>
      </c>
      <c r="H89" s="36">
        <f t="shared" si="8"/>
        <v>0</v>
      </c>
      <c r="I89" s="11">
        <f t="shared" si="9"/>
        <v>-2522309200</v>
      </c>
      <c r="J89" s="53">
        <f t="shared" si="10"/>
        <v>0</v>
      </c>
      <c r="K89" s="53">
        <f t="shared" si="11"/>
        <v>-2522309200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787</v>
      </c>
      <c r="H90" s="36">
        <f t="shared" si="8"/>
        <v>0</v>
      </c>
      <c r="I90" s="11">
        <f t="shared" si="9"/>
        <v>-2519108300</v>
      </c>
      <c r="J90" s="53">
        <f t="shared" si="10"/>
        <v>0</v>
      </c>
      <c r="K90" s="53">
        <f t="shared" si="11"/>
        <v>-2519108300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786</v>
      </c>
      <c r="H91" s="36">
        <f t="shared" si="8"/>
        <v>0</v>
      </c>
      <c r="I91" s="11">
        <f t="shared" si="9"/>
        <v>-2515907400</v>
      </c>
      <c r="J91" s="53">
        <f t="shared" si="10"/>
        <v>0</v>
      </c>
      <c r="K91" s="53">
        <f t="shared" si="11"/>
        <v>-2515907400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785</v>
      </c>
      <c r="H92" s="36">
        <f t="shared" si="8"/>
        <v>0</v>
      </c>
      <c r="I92" s="11">
        <f t="shared" si="9"/>
        <v>-2512706500</v>
      </c>
      <c r="J92" s="53">
        <f t="shared" si="10"/>
        <v>0</v>
      </c>
      <c r="K92" s="53">
        <f t="shared" si="11"/>
        <v>-2512706500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784</v>
      </c>
      <c r="H93" s="36">
        <f t="shared" si="8"/>
        <v>0</v>
      </c>
      <c r="I93" s="11">
        <f t="shared" si="9"/>
        <v>-2509505600</v>
      </c>
      <c r="J93" s="53">
        <f t="shared" si="10"/>
        <v>0</v>
      </c>
      <c r="K93" s="53">
        <f t="shared" si="11"/>
        <v>-2509505600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783</v>
      </c>
      <c r="H94" s="36">
        <f t="shared" si="8"/>
        <v>0</v>
      </c>
      <c r="I94" s="11">
        <f t="shared" si="9"/>
        <v>-2506304700</v>
      </c>
      <c r="J94" s="53">
        <f t="shared" si="10"/>
        <v>0</v>
      </c>
      <c r="K94" s="53">
        <f t="shared" si="11"/>
        <v>-2506304700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781</v>
      </c>
      <c r="H95" s="36">
        <f t="shared" si="8"/>
        <v>0</v>
      </c>
      <c r="I95" s="11">
        <f t="shared" si="9"/>
        <v>-934541476</v>
      </c>
      <c r="J95" s="53">
        <f t="shared" si="10"/>
        <v>0</v>
      </c>
      <c r="K95" s="53">
        <f t="shared" si="11"/>
        <v>-934541476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771</v>
      </c>
      <c r="H96" s="36">
        <f t="shared" si="8"/>
        <v>0</v>
      </c>
      <c r="I96" s="11">
        <f t="shared" si="9"/>
        <v>-154200000</v>
      </c>
      <c r="J96" s="53">
        <f t="shared" si="10"/>
        <v>0</v>
      </c>
      <c r="K96" s="53">
        <f t="shared" si="11"/>
        <v>-154200000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770</v>
      </c>
      <c r="H97" s="36">
        <f t="shared" si="8"/>
        <v>1</v>
      </c>
      <c r="I97" s="11">
        <f t="shared" si="9"/>
        <v>122700102</v>
      </c>
      <c r="J97" s="53">
        <f t="shared" si="10"/>
        <v>53004094</v>
      </c>
      <c r="K97" s="53">
        <f t="shared" si="11"/>
        <v>69696008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765</v>
      </c>
      <c r="H98" s="36">
        <f t="shared" si="8"/>
        <v>1</v>
      </c>
      <c r="I98" s="11">
        <f t="shared" si="9"/>
        <v>87377152</v>
      </c>
      <c r="J98" s="53">
        <f t="shared" si="10"/>
        <v>0</v>
      </c>
      <c r="K98" s="53">
        <f t="shared" si="11"/>
        <v>87377152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762</v>
      </c>
      <c r="H99" s="36">
        <f t="shared" si="8"/>
        <v>0</v>
      </c>
      <c r="I99" s="11">
        <f t="shared" si="9"/>
        <v>-1009650000</v>
      </c>
      <c r="J99" s="53">
        <f t="shared" si="10"/>
        <v>0</v>
      </c>
      <c r="K99" s="53">
        <f t="shared" si="11"/>
        <v>-1009650000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757</v>
      </c>
      <c r="H100" s="36">
        <f t="shared" si="8"/>
        <v>1</v>
      </c>
      <c r="I100" s="11">
        <f t="shared" si="9"/>
        <v>1001700000</v>
      </c>
      <c r="J100" s="53">
        <f t="shared" si="10"/>
        <v>0</v>
      </c>
      <c r="K100" s="53">
        <f t="shared" si="11"/>
        <v>1001700000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740</v>
      </c>
      <c r="H101" s="36">
        <f t="shared" si="8"/>
        <v>1</v>
      </c>
      <c r="I101" s="11">
        <f t="shared" si="9"/>
        <v>49398455</v>
      </c>
      <c r="J101" s="53">
        <f t="shared" si="10"/>
        <v>49398455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737</v>
      </c>
      <c r="H102" s="36">
        <f t="shared" si="8"/>
        <v>1</v>
      </c>
      <c r="I102" s="11">
        <f t="shared" si="9"/>
        <v>2208000000</v>
      </c>
      <c r="J102" s="53">
        <f t="shared" si="10"/>
        <v>0</v>
      </c>
      <c r="K102" s="53">
        <f t="shared" si="11"/>
        <v>2208000000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730</v>
      </c>
      <c r="H103" s="36">
        <f t="shared" si="8"/>
        <v>0</v>
      </c>
      <c r="I103" s="11">
        <f t="shared" si="9"/>
        <v>-730000000</v>
      </c>
      <c r="J103" s="53">
        <f t="shared" si="10"/>
        <v>-730000000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720</v>
      </c>
      <c r="H104" s="36">
        <f t="shared" si="8"/>
        <v>1</v>
      </c>
      <c r="I104" s="11">
        <f t="shared" si="9"/>
        <v>2157000000</v>
      </c>
      <c r="J104" s="53">
        <f t="shared" si="10"/>
        <v>2157000000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719</v>
      </c>
      <c r="H105" s="36">
        <f t="shared" si="8"/>
        <v>1</v>
      </c>
      <c r="I105" s="11">
        <f t="shared" si="9"/>
        <v>804160000</v>
      </c>
      <c r="J105" s="53">
        <f t="shared" si="10"/>
        <v>804160000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719</v>
      </c>
      <c r="H106" s="36">
        <f t="shared" si="8"/>
        <v>0</v>
      </c>
      <c r="I106" s="11">
        <f t="shared" si="9"/>
        <v>-2157000000</v>
      </c>
      <c r="J106" s="53">
        <f t="shared" si="10"/>
        <v>0</v>
      </c>
      <c r="K106" s="53">
        <f t="shared" si="11"/>
        <v>-2157000000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710</v>
      </c>
      <c r="H107" s="36">
        <f t="shared" si="8"/>
        <v>1</v>
      </c>
      <c r="I107" s="11">
        <f t="shared" si="9"/>
        <v>64160246</v>
      </c>
      <c r="J107" s="53">
        <f t="shared" si="10"/>
        <v>53256535</v>
      </c>
      <c r="K107" s="53">
        <f t="shared" si="11"/>
        <v>10903711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708</v>
      </c>
      <c r="H108" s="36">
        <f t="shared" si="8"/>
        <v>0</v>
      </c>
      <c r="I108" s="11">
        <f t="shared" si="9"/>
        <v>-1204095600</v>
      </c>
      <c r="J108" s="53">
        <f t="shared" si="10"/>
        <v>0</v>
      </c>
      <c r="K108" s="53">
        <f t="shared" si="11"/>
        <v>-1204095600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704</v>
      </c>
      <c r="H109" s="36">
        <f t="shared" si="8"/>
        <v>0</v>
      </c>
      <c r="I109" s="11">
        <f t="shared" si="9"/>
        <v>-704352000</v>
      </c>
      <c r="J109" s="53">
        <f t="shared" si="10"/>
        <v>0</v>
      </c>
      <c r="K109" s="53">
        <f t="shared" si="11"/>
        <v>-704352000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701</v>
      </c>
      <c r="H110" s="36">
        <f t="shared" si="8"/>
        <v>1</v>
      </c>
      <c r="I110" s="11">
        <f t="shared" si="9"/>
        <v>14000000000</v>
      </c>
      <c r="J110" s="53">
        <f t="shared" si="10"/>
        <v>0</v>
      </c>
      <c r="K110" s="53">
        <f t="shared" si="11"/>
        <v>14000000000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681</v>
      </c>
      <c r="H111" s="36">
        <f t="shared" si="8"/>
        <v>1</v>
      </c>
      <c r="I111" s="11">
        <f t="shared" si="9"/>
        <v>118781040</v>
      </c>
      <c r="J111" s="53">
        <f t="shared" si="10"/>
        <v>59406840</v>
      </c>
      <c r="K111" s="53">
        <f t="shared" si="11"/>
        <v>59374200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665</v>
      </c>
      <c r="H112" s="36">
        <f t="shared" si="8"/>
        <v>0</v>
      </c>
      <c r="I112" s="11">
        <f t="shared" si="9"/>
        <v>-18886000000</v>
      </c>
      <c r="J112" s="53">
        <f t="shared" si="10"/>
        <v>0</v>
      </c>
      <c r="K112" s="53">
        <f t="shared" si="11"/>
        <v>-18886000000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650</v>
      </c>
      <c r="H113" s="36">
        <f t="shared" si="8"/>
        <v>1</v>
      </c>
      <c r="I113" s="11">
        <f t="shared" si="9"/>
        <v>105812960</v>
      </c>
      <c r="J113" s="53">
        <f t="shared" si="10"/>
        <v>79509639</v>
      </c>
      <c r="K113" s="53">
        <f t="shared" si="11"/>
        <v>26303321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650</v>
      </c>
      <c r="H114" s="36">
        <f t="shared" si="8"/>
        <v>0</v>
      </c>
      <c r="I114" s="11">
        <f t="shared" si="9"/>
        <v>-3705000</v>
      </c>
      <c r="J114" s="53">
        <f t="shared" si="10"/>
        <v>-1625000</v>
      </c>
      <c r="K114" s="53">
        <f t="shared" si="11"/>
        <v>-2080000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637</v>
      </c>
      <c r="H115" s="36">
        <f t="shared" si="8"/>
        <v>0</v>
      </c>
      <c r="I115" s="11">
        <f t="shared" si="9"/>
        <v>0</v>
      </c>
      <c r="J115" s="53">
        <f t="shared" si="10"/>
        <v>318500000</v>
      </c>
      <c r="K115" s="53">
        <f t="shared" si="11"/>
        <v>-318500000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629</v>
      </c>
      <c r="H116" s="36">
        <f t="shared" si="8"/>
        <v>0</v>
      </c>
      <c r="I116" s="11">
        <f t="shared" si="9"/>
        <v>-100640000</v>
      </c>
      <c r="J116" s="53">
        <f t="shared" si="10"/>
        <v>0</v>
      </c>
      <c r="K116" s="53">
        <f t="shared" si="11"/>
        <v>-100640000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620</v>
      </c>
      <c r="H117" s="36">
        <f t="shared" si="8"/>
        <v>1</v>
      </c>
      <c r="I117" s="11">
        <f t="shared" si="9"/>
        <v>916120</v>
      </c>
      <c r="J117" s="53">
        <f t="shared" si="10"/>
        <v>66196479</v>
      </c>
      <c r="K117" s="53">
        <f t="shared" si="11"/>
        <v>-65280359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598</v>
      </c>
      <c r="H118" s="36">
        <f t="shared" si="8"/>
        <v>1</v>
      </c>
      <c r="I118" s="11">
        <f t="shared" si="9"/>
        <v>23521501500</v>
      </c>
      <c r="J118" s="53">
        <f t="shared" si="10"/>
        <v>0</v>
      </c>
      <c r="K118" s="53">
        <f t="shared" si="11"/>
        <v>23521501500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589</v>
      </c>
      <c r="H119" s="36">
        <f t="shared" si="8"/>
        <v>1</v>
      </c>
      <c r="I119" s="11">
        <f t="shared" si="9"/>
        <v>56166348</v>
      </c>
      <c r="J119" s="53">
        <f t="shared" si="10"/>
        <v>64711752</v>
      </c>
      <c r="K119" s="53">
        <f t="shared" si="11"/>
        <v>-8545404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585</v>
      </c>
      <c r="H120" s="11">
        <f t="shared" si="8"/>
        <v>1</v>
      </c>
      <c r="I120" s="11">
        <f t="shared" ref="I120:I313" si="13">B120*(G120-H120)</f>
        <v>1168000000</v>
      </c>
      <c r="J120" s="11">
        <f t="shared" si="10"/>
        <v>0</v>
      </c>
      <c r="K120" s="11">
        <f t="shared" si="11"/>
        <v>1168000000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559</v>
      </c>
      <c r="H121" s="11">
        <f t="shared" si="8"/>
        <v>1</v>
      </c>
      <c r="I121" s="11">
        <f t="shared" si="13"/>
        <v>1450800000</v>
      </c>
      <c r="J121" s="11">
        <f t="shared" si="10"/>
        <v>0</v>
      </c>
      <c r="K121" s="11">
        <f t="shared" si="11"/>
        <v>1450800000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558</v>
      </c>
      <c r="H122" s="11">
        <f t="shared" si="8"/>
        <v>1</v>
      </c>
      <c r="I122" s="11">
        <f t="shared" si="13"/>
        <v>214194907</v>
      </c>
      <c r="J122" s="11">
        <f t="shared" si="10"/>
        <v>61775756</v>
      </c>
      <c r="K122" s="11">
        <f t="shared" si="11"/>
        <v>152419151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557</v>
      </c>
      <c r="H123" s="11">
        <f t="shared" si="8"/>
        <v>0</v>
      </c>
      <c r="I123" s="11">
        <f t="shared" si="13"/>
        <v>0</v>
      </c>
      <c r="J123" s="11">
        <f t="shared" si="10"/>
        <v>445600000</v>
      </c>
      <c r="K123" s="11">
        <f t="shared" si="11"/>
        <v>-445600000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543</v>
      </c>
      <c r="H124" s="11">
        <f t="shared" si="8"/>
        <v>0</v>
      </c>
      <c r="I124" s="11">
        <f t="shared" si="13"/>
        <v>-1629000000</v>
      </c>
      <c r="J124" s="11">
        <f t="shared" si="10"/>
        <v>0</v>
      </c>
      <c r="K124" s="11">
        <f t="shared" si="11"/>
        <v>-1629000000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528</v>
      </c>
      <c r="H125" s="11">
        <f t="shared" si="8"/>
        <v>1</v>
      </c>
      <c r="I125" s="11">
        <f t="shared" si="13"/>
        <v>211174170</v>
      </c>
      <c r="J125" s="11">
        <f t="shared" si="10"/>
        <v>62647125</v>
      </c>
      <c r="K125" s="11">
        <f t="shared" si="11"/>
        <v>148527045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528</v>
      </c>
      <c r="H126" s="11">
        <f t="shared" si="8"/>
        <v>1</v>
      </c>
      <c r="I126" s="11">
        <f t="shared" si="13"/>
        <v>22134000000</v>
      </c>
      <c r="J126" s="11">
        <f t="shared" si="10"/>
        <v>0</v>
      </c>
      <c r="K126" s="11">
        <f t="shared" si="11"/>
        <v>22134000000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503</v>
      </c>
      <c r="H127" s="11">
        <f t="shared" si="8"/>
        <v>0</v>
      </c>
      <c r="I127" s="11">
        <f t="shared" si="13"/>
        <v>-2515000</v>
      </c>
      <c r="J127" s="11">
        <f t="shared" si="10"/>
        <v>0</v>
      </c>
      <c r="K127" s="11">
        <f t="shared" si="11"/>
        <v>-2515000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497</v>
      </c>
      <c r="H128" s="11">
        <f t="shared" si="8"/>
        <v>1</v>
      </c>
      <c r="I128" s="11">
        <f t="shared" si="13"/>
        <v>382601504</v>
      </c>
      <c r="J128" s="11">
        <f t="shared" si="10"/>
        <v>59865712</v>
      </c>
      <c r="K128" s="11">
        <f t="shared" si="11"/>
        <v>322735792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494</v>
      </c>
      <c r="H129" s="11">
        <f t="shared" si="8"/>
        <v>1</v>
      </c>
      <c r="I129" s="11">
        <f t="shared" si="13"/>
        <v>1232500000</v>
      </c>
      <c r="J129" s="11">
        <f t="shared" si="10"/>
        <v>0</v>
      </c>
      <c r="K129" s="11">
        <f t="shared" si="11"/>
        <v>1232500000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480</v>
      </c>
      <c r="H130" s="11">
        <f t="shared" si="8"/>
        <v>0</v>
      </c>
      <c r="I130" s="11">
        <f t="shared" si="13"/>
        <v>-480000000</v>
      </c>
      <c r="J130" s="11">
        <f t="shared" si="10"/>
        <v>-480000000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475</v>
      </c>
      <c r="H131" s="11">
        <f t="shared" si="8"/>
        <v>0</v>
      </c>
      <c r="I131" s="11">
        <f t="shared" si="13"/>
        <v>-23750000000</v>
      </c>
      <c r="J131" s="11">
        <f t="shared" si="10"/>
        <v>0</v>
      </c>
      <c r="K131" s="11">
        <f t="shared" si="11"/>
        <v>-23750000000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467</v>
      </c>
      <c r="H132" s="11">
        <f t="shared" ref="H132:H313" si="15">IF(B132&gt;0,1,0)</f>
        <v>1</v>
      </c>
      <c r="I132" s="11">
        <f t="shared" si="13"/>
        <v>286257742</v>
      </c>
      <c r="J132" s="11">
        <f t="shared" ref="J132:J206" si="16">C132*(G132-H132)</f>
        <v>49382486</v>
      </c>
      <c r="K132" s="11">
        <f t="shared" ref="K132:K313" si="17">D132*(G132-H132)</f>
        <v>236875256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463</v>
      </c>
      <c r="H133" s="11">
        <f t="shared" si="15"/>
        <v>0</v>
      </c>
      <c r="I133" s="11">
        <f t="shared" si="13"/>
        <v>-560554100</v>
      </c>
      <c r="J133" s="11">
        <f t="shared" si="16"/>
        <v>0</v>
      </c>
      <c r="K133" s="11">
        <f t="shared" si="17"/>
        <v>-560554100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454</v>
      </c>
      <c r="H134" s="11">
        <f t="shared" si="15"/>
        <v>0</v>
      </c>
      <c r="I134" s="11">
        <f t="shared" si="13"/>
        <v>-29510000</v>
      </c>
      <c r="J134" s="11">
        <f t="shared" si="16"/>
        <v>0</v>
      </c>
      <c r="K134" s="11">
        <f t="shared" si="17"/>
        <v>-29510000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454</v>
      </c>
      <c r="H135" s="11">
        <f t="shared" si="15"/>
        <v>0</v>
      </c>
      <c r="I135" s="11">
        <f t="shared" si="13"/>
        <v>-14664200</v>
      </c>
      <c r="J135" s="11">
        <f t="shared" si="16"/>
        <v>0</v>
      </c>
      <c r="K135" s="11">
        <f t="shared" si="17"/>
        <v>-14664200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446</v>
      </c>
      <c r="H136" s="11">
        <f t="shared" si="15"/>
        <v>0</v>
      </c>
      <c r="I136" s="11">
        <f t="shared" si="13"/>
        <v>-446000000</v>
      </c>
      <c r="J136" s="11">
        <f t="shared" si="16"/>
        <v>-446000000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437</v>
      </c>
      <c r="H137" s="11">
        <f t="shared" si="15"/>
        <v>1</v>
      </c>
      <c r="I137" s="11">
        <f t="shared" si="13"/>
        <v>126820628</v>
      </c>
      <c r="J137" s="11">
        <f t="shared" si="16"/>
        <v>42448524</v>
      </c>
      <c r="K137" s="11">
        <f t="shared" si="17"/>
        <v>84372104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420</v>
      </c>
      <c r="H138" s="11">
        <f t="shared" si="15"/>
        <v>0</v>
      </c>
      <c r="I138" s="11">
        <f t="shared" si="13"/>
        <v>-420210000</v>
      </c>
      <c r="J138" s="11">
        <f t="shared" si="16"/>
        <v>-420210000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408</v>
      </c>
      <c r="H139" s="11">
        <f t="shared" si="15"/>
        <v>1</v>
      </c>
      <c r="I139" s="11">
        <f t="shared" si="13"/>
        <v>114871680</v>
      </c>
      <c r="J139" s="11">
        <f t="shared" si="16"/>
        <v>36144449</v>
      </c>
      <c r="K139" s="11">
        <f t="shared" si="17"/>
        <v>78727231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405</v>
      </c>
      <c r="H140" s="11">
        <f t="shared" si="15"/>
        <v>1</v>
      </c>
      <c r="I140" s="11">
        <f t="shared" si="13"/>
        <v>606000000</v>
      </c>
      <c r="J140" s="11">
        <f t="shared" si="16"/>
        <v>0</v>
      </c>
      <c r="K140" s="11">
        <f t="shared" si="17"/>
        <v>606000000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392</v>
      </c>
      <c r="H141" s="11">
        <f t="shared" si="15"/>
        <v>0</v>
      </c>
      <c r="I141" s="11">
        <f t="shared" si="13"/>
        <v>0</v>
      </c>
      <c r="J141" s="11">
        <f t="shared" si="16"/>
        <v>-392000000</v>
      </c>
      <c r="K141" s="11">
        <f t="shared" si="17"/>
        <v>392000000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378</v>
      </c>
      <c r="H142" s="11">
        <f t="shared" si="15"/>
        <v>1</v>
      </c>
      <c r="I142" s="11">
        <f t="shared" si="13"/>
        <v>109666661</v>
      </c>
      <c r="J142" s="11">
        <f t="shared" si="16"/>
        <v>30545294</v>
      </c>
      <c r="K142" s="11">
        <f t="shared" si="17"/>
        <v>79121367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358</v>
      </c>
      <c r="H143" s="11">
        <f t="shared" si="15"/>
        <v>0</v>
      </c>
      <c r="I143" s="11">
        <f t="shared" si="13"/>
        <v>0</v>
      </c>
      <c r="J143" s="11">
        <f t="shared" si="16"/>
        <v>-358000000</v>
      </c>
      <c r="K143" s="11">
        <f t="shared" si="17"/>
        <v>358000000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348</v>
      </c>
      <c r="H144" s="11">
        <f t="shared" si="15"/>
        <v>1</v>
      </c>
      <c r="I144" s="11">
        <f t="shared" si="13"/>
        <v>102313644</v>
      </c>
      <c r="J144" s="11">
        <f t="shared" si="16"/>
        <v>25905979</v>
      </c>
      <c r="K144" s="11">
        <f t="shared" si="17"/>
        <v>76407665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333</v>
      </c>
      <c r="H145" s="11">
        <f t="shared" si="15"/>
        <v>0</v>
      </c>
      <c r="I145" s="11">
        <f t="shared" si="13"/>
        <v>-3330000</v>
      </c>
      <c r="J145" s="11">
        <f t="shared" si="16"/>
        <v>-1665000</v>
      </c>
      <c r="K145" s="11">
        <f t="shared" si="17"/>
        <v>-1665000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328</v>
      </c>
      <c r="H146" s="11">
        <f t="shared" si="15"/>
        <v>0</v>
      </c>
      <c r="I146" s="11">
        <f t="shared" si="13"/>
        <v>-328164000</v>
      </c>
      <c r="J146" s="11">
        <f t="shared" si="16"/>
        <v>-328164000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322</v>
      </c>
      <c r="H147" s="11">
        <f t="shared" si="15"/>
        <v>0</v>
      </c>
      <c r="I147" s="11">
        <f t="shared" si="13"/>
        <v>-8694000000</v>
      </c>
      <c r="J147" s="11">
        <f t="shared" si="16"/>
        <v>0</v>
      </c>
      <c r="K147" s="11">
        <f t="shared" si="17"/>
        <v>-8694000000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319</v>
      </c>
      <c r="H148" s="11">
        <f t="shared" si="15"/>
        <v>1</v>
      </c>
      <c r="I148" s="11">
        <f t="shared" si="13"/>
        <v>80274648</v>
      </c>
      <c r="J148" s="11">
        <f t="shared" si="16"/>
        <v>20832180</v>
      </c>
      <c r="K148" s="11">
        <f t="shared" si="17"/>
        <v>59442468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311</v>
      </c>
      <c r="H149" s="11">
        <f t="shared" si="15"/>
        <v>1</v>
      </c>
      <c r="I149" s="11">
        <f t="shared" si="13"/>
        <v>16244000000</v>
      </c>
      <c r="J149" s="11">
        <f t="shared" si="16"/>
        <v>0</v>
      </c>
      <c r="K149" s="11">
        <f t="shared" si="17"/>
        <v>16244000000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304</v>
      </c>
      <c r="H150" s="11">
        <f t="shared" si="15"/>
        <v>0</v>
      </c>
      <c r="I150" s="11">
        <f t="shared" si="13"/>
        <v>-15808000000</v>
      </c>
      <c r="J150" s="11">
        <f t="shared" si="16"/>
        <v>0</v>
      </c>
      <c r="K150" s="11">
        <f t="shared" si="17"/>
        <v>-15808000000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299</v>
      </c>
      <c r="H151" s="99">
        <f t="shared" si="15"/>
        <v>0</v>
      </c>
      <c r="I151" s="99">
        <f t="shared" si="13"/>
        <v>-2392000000</v>
      </c>
      <c r="J151" s="99">
        <f t="shared" si="16"/>
        <v>-2024867169</v>
      </c>
      <c r="K151" s="11">
        <f t="shared" si="17"/>
        <v>-367132831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299</v>
      </c>
      <c r="H152" s="99">
        <f t="shared" si="15"/>
        <v>0</v>
      </c>
      <c r="I152" s="99">
        <f t="shared" si="13"/>
        <v>-9337770</v>
      </c>
      <c r="J152" s="99">
        <f t="shared" si="16"/>
        <v>0</v>
      </c>
      <c r="K152" s="99">
        <f t="shared" si="17"/>
        <v>-9337770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288</v>
      </c>
      <c r="H153" s="99">
        <f t="shared" si="15"/>
        <v>1</v>
      </c>
      <c r="I153" s="99">
        <f t="shared" si="13"/>
        <v>38769969</v>
      </c>
      <c r="J153" s="99">
        <f t="shared" si="16"/>
        <v>11804310</v>
      </c>
      <c r="K153" s="99">
        <f t="shared" si="17"/>
        <v>26965659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285</v>
      </c>
      <c r="H154" s="99">
        <f t="shared" si="15"/>
        <v>1</v>
      </c>
      <c r="I154" s="99">
        <f t="shared" si="13"/>
        <v>1938039288</v>
      </c>
      <c r="J154" s="99">
        <f t="shared" si="16"/>
        <v>1938039288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280</v>
      </c>
      <c r="H155" s="99">
        <f t="shared" si="15"/>
        <v>0</v>
      </c>
      <c r="I155" s="99">
        <f t="shared" si="13"/>
        <v>-56000000</v>
      </c>
      <c r="J155" s="99">
        <f t="shared" si="16"/>
        <v>0</v>
      </c>
      <c r="K155" s="99">
        <f t="shared" si="17"/>
        <v>-56000000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280</v>
      </c>
      <c r="H156" s="99">
        <f t="shared" si="15"/>
        <v>0</v>
      </c>
      <c r="I156" s="99">
        <f t="shared" si="13"/>
        <v>-69395200</v>
      </c>
      <c r="J156" s="99">
        <f t="shared" si="16"/>
        <v>0</v>
      </c>
      <c r="K156" s="99">
        <f t="shared" si="17"/>
        <v>-69395200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279</v>
      </c>
      <c r="H157" s="99">
        <f t="shared" si="15"/>
        <v>0</v>
      </c>
      <c r="I157" s="99">
        <f t="shared" si="13"/>
        <v>-45292860</v>
      </c>
      <c r="J157" s="99">
        <f t="shared" si="16"/>
        <v>0</v>
      </c>
      <c r="K157" s="99">
        <f t="shared" si="17"/>
        <v>-45292860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279</v>
      </c>
      <c r="H158" s="99">
        <f t="shared" si="15"/>
        <v>0</v>
      </c>
      <c r="I158" s="99">
        <f t="shared" si="13"/>
        <v>-837251100</v>
      </c>
      <c r="J158" s="99">
        <f t="shared" si="16"/>
        <v>0</v>
      </c>
      <c r="K158" s="99">
        <f t="shared" si="17"/>
        <v>-837251100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277</v>
      </c>
      <c r="H159" s="99">
        <f t="shared" si="15"/>
        <v>0</v>
      </c>
      <c r="I159" s="99">
        <f t="shared" si="13"/>
        <v>-277138500</v>
      </c>
      <c r="J159" s="99">
        <f t="shared" si="16"/>
        <v>0</v>
      </c>
      <c r="K159" s="99">
        <f t="shared" si="17"/>
        <v>-277138500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273</v>
      </c>
      <c r="H160" s="99">
        <f t="shared" si="15"/>
        <v>0</v>
      </c>
      <c r="I160" s="99">
        <f t="shared" si="13"/>
        <v>-27300000</v>
      </c>
      <c r="J160" s="99">
        <f t="shared" si="16"/>
        <v>0</v>
      </c>
      <c r="K160" s="99">
        <f t="shared" si="17"/>
        <v>-27300000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272</v>
      </c>
      <c r="H161" s="99">
        <f t="shared" si="15"/>
        <v>0</v>
      </c>
      <c r="I161" s="99">
        <f t="shared" si="13"/>
        <v>-544000000</v>
      </c>
      <c r="J161" s="99">
        <f t="shared" si="16"/>
        <v>0</v>
      </c>
      <c r="K161" s="99">
        <f t="shared" si="17"/>
        <v>-544000000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272</v>
      </c>
      <c r="H162" s="99">
        <f t="shared" si="15"/>
        <v>0</v>
      </c>
      <c r="I162" s="99">
        <f t="shared" si="13"/>
        <v>-272136000</v>
      </c>
      <c r="J162" s="99">
        <f t="shared" si="16"/>
        <v>0</v>
      </c>
      <c r="K162" s="99">
        <f t="shared" si="17"/>
        <v>-272136000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269</v>
      </c>
      <c r="H163" s="99">
        <f t="shared" si="15"/>
        <v>0</v>
      </c>
      <c r="I163" s="99">
        <f t="shared" si="13"/>
        <v>-1345000</v>
      </c>
      <c r="J163" s="99">
        <f t="shared" si="16"/>
        <v>0</v>
      </c>
      <c r="K163" s="99">
        <f t="shared" si="17"/>
        <v>-1345000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259</v>
      </c>
      <c r="H164" s="99">
        <f t="shared" si="15"/>
        <v>1</v>
      </c>
      <c r="I164" s="99">
        <f t="shared" si="13"/>
        <v>774000000</v>
      </c>
      <c r="J164" s="99">
        <f t="shared" si="16"/>
        <v>0</v>
      </c>
      <c r="K164" s="99">
        <f t="shared" si="17"/>
        <v>774000000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258</v>
      </c>
      <c r="H165" s="99">
        <f t="shared" si="15"/>
        <v>1</v>
      </c>
      <c r="I165" s="99">
        <f t="shared" si="13"/>
        <v>771000000</v>
      </c>
      <c r="J165" s="99">
        <f t="shared" si="16"/>
        <v>0</v>
      </c>
      <c r="K165" s="99">
        <f t="shared" si="17"/>
        <v>771000000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257</v>
      </c>
      <c r="H166" s="99">
        <f t="shared" si="15"/>
        <v>1</v>
      </c>
      <c r="I166" s="99">
        <f t="shared" si="13"/>
        <v>5200384</v>
      </c>
      <c r="J166" s="99">
        <f t="shared" si="16"/>
        <v>15319552</v>
      </c>
      <c r="K166" s="99">
        <f t="shared" si="17"/>
        <v>-10119168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252</v>
      </c>
      <c r="H167" s="99">
        <f t="shared" si="15"/>
        <v>0</v>
      </c>
      <c r="I167" s="99">
        <f t="shared" si="13"/>
        <v>-756226800</v>
      </c>
      <c r="J167" s="99">
        <f t="shared" si="16"/>
        <v>0</v>
      </c>
      <c r="K167" s="99">
        <f t="shared" si="17"/>
        <v>-756226800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234</v>
      </c>
      <c r="H168" s="99">
        <f t="shared" si="15"/>
        <v>0</v>
      </c>
      <c r="I168" s="99">
        <f t="shared" si="13"/>
        <v>-702210600</v>
      </c>
      <c r="J168" s="99">
        <f t="shared" si="16"/>
        <v>0</v>
      </c>
      <c r="K168" s="99">
        <f t="shared" si="17"/>
        <v>-702210600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226</v>
      </c>
      <c r="H169" s="99">
        <f t="shared" si="15"/>
        <v>1</v>
      </c>
      <c r="I169" s="99">
        <f t="shared" si="13"/>
        <v>4883625</v>
      </c>
      <c r="J169" s="99">
        <f t="shared" si="16"/>
        <v>15415875</v>
      </c>
      <c r="K169" s="99">
        <f t="shared" si="17"/>
        <v>-10532250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202</v>
      </c>
      <c r="H170" s="99">
        <f t="shared" si="15"/>
        <v>1</v>
      </c>
      <c r="I170" s="99">
        <f t="shared" si="13"/>
        <v>1005000000</v>
      </c>
      <c r="J170" s="99">
        <f t="shared" si="16"/>
        <v>0</v>
      </c>
      <c r="K170" s="99">
        <f t="shared" si="17"/>
        <v>1005000000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201</v>
      </c>
      <c r="H171" s="99">
        <f t="shared" si="15"/>
        <v>0</v>
      </c>
      <c r="I171" s="99">
        <f t="shared" si="13"/>
        <v>-1005000000</v>
      </c>
      <c r="J171" s="99">
        <f t="shared" si="16"/>
        <v>0</v>
      </c>
      <c r="K171" s="99">
        <f t="shared" si="17"/>
        <v>-1005000000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195</v>
      </c>
      <c r="H172" s="99">
        <f t="shared" si="15"/>
        <v>1</v>
      </c>
      <c r="I172" s="99">
        <f t="shared" si="13"/>
        <v>96224</v>
      </c>
      <c r="J172" s="99">
        <f t="shared" si="16"/>
        <v>12160114</v>
      </c>
      <c r="K172" s="99">
        <f t="shared" si="17"/>
        <v>-12063890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194</v>
      </c>
      <c r="H173" s="99">
        <f t="shared" si="15"/>
        <v>1</v>
      </c>
      <c r="I173" s="99">
        <f t="shared" si="13"/>
        <v>151505000</v>
      </c>
      <c r="J173" s="99">
        <f t="shared" si="16"/>
        <v>0</v>
      </c>
      <c r="K173" s="99">
        <f t="shared" si="17"/>
        <v>151505000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183</v>
      </c>
      <c r="H174" s="99">
        <f t="shared" si="15"/>
        <v>0</v>
      </c>
      <c r="I174" s="99">
        <f t="shared" si="13"/>
        <v>-5856000</v>
      </c>
      <c r="J174" s="99">
        <f t="shared" si="16"/>
        <v>0</v>
      </c>
      <c r="K174" s="99">
        <f t="shared" si="17"/>
        <v>-5856000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181</v>
      </c>
      <c r="H175" s="99">
        <f t="shared" si="15"/>
        <v>0</v>
      </c>
      <c r="I175" s="99">
        <f t="shared" si="13"/>
        <v>-135750000</v>
      </c>
      <c r="J175" s="99">
        <f t="shared" si="16"/>
        <v>0</v>
      </c>
      <c r="K175" s="99">
        <f t="shared" si="17"/>
        <v>-135750000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172</v>
      </c>
      <c r="H176" s="99">
        <f t="shared" si="15"/>
        <v>0</v>
      </c>
      <c r="I176" s="99">
        <f t="shared" si="13"/>
        <v>-1616112</v>
      </c>
      <c r="J176" s="99">
        <f t="shared" si="16"/>
        <v>0</v>
      </c>
      <c r="K176" s="99">
        <f t="shared" si="17"/>
        <v>-1616112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171</v>
      </c>
      <c r="H177" s="99">
        <f t="shared" si="15"/>
        <v>0</v>
      </c>
      <c r="I177" s="99">
        <f t="shared" si="13"/>
        <v>-7404300</v>
      </c>
      <c r="J177" s="99">
        <f t="shared" si="16"/>
        <v>0</v>
      </c>
      <c r="K177" s="99">
        <f t="shared" si="17"/>
        <v>-7404300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168</v>
      </c>
      <c r="H178" s="99">
        <f t="shared" si="15"/>
        <v>1</v>
      </c>
      <c r="I178" s="99">
        <f t="shared" si="13"/>
        <v>60120000</v>
      </c>
      <c r="J178" s="99">
        <f t="shared" si="16"/>
        <v>0</v>
      </c>
      <c r="K178" s="99">
        <f t="shared" si="17"/>
        <v>60120000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166</v>
      </c>
      <c r="H179" s="99">
        <f t="shared" si="15"/>
        <v>1</v>
      </c>
      <c r="I179" s="99">
        <f t="shared" si="13"/>
        <v>495000000</v>
      </c>
      <c r="J179" s="99">
        <f t="shared" si="16"/>
        <v>0</v>
      </c>
      <c r="K179" s="99">
        <f t="shared" si="17"/>
        <v>495000000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166</v>
      </c>
      <c r="H180" s="99">
        <f t="shared" si="15"/>
        <v>0</v>
      </c>
      <c r="I180" s="99">
        <f t="shared" si="13"/>
        <v>-2000300</v>
      </c>
      <c r="J180" s="99">
        <f t="shared" si="16"/>
        <v>0</v>
      </c>
      <c r="K180" s="99">
        <f t="shared" si="17"/>
        <v>-2000300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164</v>
      </c>
      <c r="H181" s="99">
        <f t="shared" si="15"/>
        <v>1</v>
      </c>
      <c r="I181" s="99">
        <f t="shared" si="13"/>
        <v>489000000</v>
      </c>
      <c r="J181" s="99">
        <f t="shared" si="16"/>
        <v>0</v>
      </c>
      <c r="K181" s="99">
        <f t="shared" si="17"/>
        <v>489000000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162</v>
      </c>
      <c r="H182" s="99">
        <f t="shared" si="15"/>
        <v>0</v>
      </c>
      <c r="I182" s="99">
        <f t="shared" si="13"/>
        <v>-5799600</v>
      </c>
      <c r="J182" s="99">
        <f t="shared" si="16"/>
        <v>0</v>
      </c>
      <c r="K182" s="99">
        <f t="shared" si="17"/>
        <v>-5799600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161</v>
      </c>
      <c r="H183" s="99">
        <f t="shared" si="15"/>
        <v>1</v>
      </c>
      <c r="I183" s="99">
        <f t="shared" si="13"/>
        <v>576000000</v>
      </c>
      <c r="J183" s="99">
        <f t="shared" si="16"/>
        <v>0</v>
      </c>
      <c r="K183" s="99">
        <f t="shared" si="17"/>
        <v>576000000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161</v>
      </c>
      <c r="H184" s="99">
        <f t="shared" si="15"/>
        <v>0</v>
      </c>
      <c r="I184" s="99">
        <f t="shared" si="13"/>
        <v>-5373697</v>
      </c>
      <c r="J184" s="99">
        <f t="shared" si="16"/>
        <v>0</v>
      </c>
      <c r="K184" s="99">
        <f t="shared" si="17"/>
        <v>-5373697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158</v>
      </c>
      <c r="H185" s="99">
        <f t="shared" si="15"/>
        <v>0</v>
      </c>
      <c r="I185" s="99">
        <f t="shared" si="13"/>
        <v>-1548400000</v>
      </c>
      <c r="J185" s="99">
        <f t="shared" si="16"/>
        <v>0</v>
      </c>
      <c r="K185" s="99">
        <f t="shared" si="17"/>
        <v>-1548400000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158</v>
      </c>
      <c r="H186" s="99">
        <f t="shared" si="15"/>
        <v>1</v>
      </c>
      <c r="I186" s="99">
        <f t="shared" si="13"/>
        <v>2826000000</v>
      </c>
      <c r="J186" s="99">
        <f t="shared" si="16"/>
        <v>0</v>
      </c>
      <c r="K186" s="99">
        <f t="shared" si="17"/>
        <v>2826000000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158</v>
      </c>
      <c r="H187" s="99">
        <f t="shared" si="15"/>
        <v>0</v>
      </c>
      <c r="I187" s="99">
        <f t="shared" si="13"/>
        <v>-1422000000</v>
      </c>
      <c r="J187" s="99">
        <f t="shared" si="16"/>
        <v>0</v>
      </c>
      <c r="K187" s="99">
        <f t="shared" si="17"/>
        <v>-1422000000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158</v>
      </c>
      <c r="H188" s="99">
        <f t="shared" si="15"/>
        <v>0</v>
      </c>
      <c r="I188" s="99">
        <f t="shared" si="13"/>
        <v>-1832800</v>
      </c>
      <c r="J188" s="99">
        <f t="shared" si="16"/>
        <v>0</v>
      </c>
      <c r="K188" s="99">
        <f t="shared" si="17"/>
        <v>-1832800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158</v>
      </c>
      <c r="H189" s="99">
        <f t="shared" si="15"/>
        <v>0</v>
      </c>
      <c r="I189" s="99">
        <f t="shared" si="13"/>
        <v>-522083666</v>
      </c>
      <c r="J189" s="99">
        <f t="shared" si="16"/>
        <v>0</v>
      </c>
      <c r="K189" s="99">
        <f t="shared" si="17"/>
        <v>-522083666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157</v>
      </c>
      <c r="H190" s="99">
        <f t="shared" si="15"/>
        <v>0</v>
      </c>
      <c r="I190" s="99">
        <f t="shared" si="13"/>
        <v>-471141300</v>
      </c>
      <c r="J190" s="99">
        <f t="shared" si="16"/>
        <v>0</v>
      </c>
      <c r="K190" s="99">
        <f t="shared" si="17"/>
        <v>-471141300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156</v>
      </c>
      <c r="H191" s="99">
        <f t="shared" si="15"/>
        <v>0</v>
      </c>
      <c r="I191" s="99">
        <f t="shared" si="13"/>
        <v>-430700400</v>
      </c>
      <c r="J191" s="99">
        <f t="shared" si="16"/>
        <v>0</v>
      </c>
      <c r="K191" s="99">
        <f t="shared" si="17"/>
        <v>-430700400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151</v>
      </c>
      <c r="H192" s="99">
        <f t="shared" si="15"/>
        <v>1</v>
      </c>
      <c r="I192" s="99">
        <f t="shared" si="13"/>
        <v>150000000</v>
      </c>
      <c r="J192" s="99">
        <f t="shared" si="16"/>
        <v>0</v>
      </c>
      <c r="K192" s="99">
        <f t="shared" si="17"/>
        <v>150000000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150</v>
      </c>
      <c r="H193" s="99">
        <f t="shared" si="15"/>
        <v>0</v>
      </c>
      <c r="I193" s="99">
        <f t="shared" si="13"/>
        <v>-2250000</v>
      </c>
      <c r="J193" s="99">
        <f t="shared" si="16"/>
        <v>0</v>
      </c>
      <c r="K193" s="99">
        <f t="shared" si="17"/>
        <v>-2250000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148</v>
      </c>
      <c r="H194" s="99">
        <f t="shared" si="15"/>
        <v>0</v>
      </c>
      <c r="I194" s="99">
        <f t="shared" si="13"/>
        <v>-146520000</v>
      </c>
      <c r="J194" s="99">
        <f t="shared" si="16"/>
        <v>0</v>
      </c>
      <c r="K194" s="99">
        <f t="shared" si="17"/>
        <v>-146520000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148</v>
      </c>
      <c r="H195" s="99">
        <f t="shared" si="15"/>
        <v>1</v>
      </c>
      <c r="I195" s="99">
        <f t="shared" si="13"/>
        <v>115101000</v>
      </c>
      <c r="J195" s="99">
        <f t="shared" si="16"/>
        <v>0</v>
      </c>
      <c r="K195" s="99">
        <f t="shared" si="17"/>
        <v>115101000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146</v>
      </c>
      <c r="H196" s="99">
        <f t="shared" si="15"/>
        <v>0</v>
      </c>
      <c r="I196" s="99">
        <f t="shared" si="13"/>
        <v>-109573000</v>
      </c>
      <c r="J196" s="99">
        <f t="shared" si="16"/>
        <v>0</v>
      </c>
      <c r="K196" s="99">
        <f t="shared" si="17"/>
        <v>-109573000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144</v>
      </c>
      <c r="H197" s="99">
        <f t="shared" si="15"/>
        <v>1</v>
      </c>
      <c r="I197" s="99">
        <f t="shared" si="13"/>
        <v>100100000</v>
      </c>
      <c r="J197" s="99">
        <f t="shared" si="16"/>
        <v>0</v>
      </c>
      <c r="K197" s="99">
        <f t="shared" si="17"/>
        <v>100100000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144</v>
      </c>
      <c r="H198" s="99">
        <f t="shared" si="15"/>
        <v>0</v>
      </c>
      <c r="I198" s="99">
        <f t="shared" si="13"/>
        <v>-14256000</v>
      </c>
      <c r="J198" s="99">
        <f t="shared" si="16"/>
        <v>0</v>
      </c>
      <c r="K198" s="99">
        <f t="shared" si="17"/>
        <v>-14256000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143</v>
      </c>
      <c r="H199" s="99">
        <f t="shared" si="15"/>
        <v>0</v>
      </c>
      <c r="I199" s="99">
        <f t="shared" si="13"/>
        <v>-29422250</v>
      </c>
      <c r="J199" s="99">
        <f t="shared" si="16"/>
        <v>0</v>
      </c>
      <c r="K199" s="99">
        <f t="shared" si="17"/>
        <v>-29422250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143</v>
      </c>
      <c r="H200" s="99">
        <f t="shared" si="15"/>
        <v>0</v>
      </c>
      <c r="I200" s="99">
        <f t="shared" si="13"/>
        <v>-13585000</v>
      </c>
      <c r="J200" s="99">
        <f t="shared" si="16"/>
        <v>0</v>
      </c>
      <c r="K200" s="99">
        <f t="shared" si="17"/>
        <v>-13585000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140</v>
      </c>
      <c r="H201" s="99">
        <f t="shared" si="15"/>
        <v>1</v>
      </c>
      <c r="I201" s="99">
        <f t="shared" si="13"/>
        <v>6762350000</v>
      </c>
      <c r="J201" s="99">
        <f t="shared" si="16"/>
        <v>0</v>
      </c>
      <c r="K201" s="99">
        <f t="shared" si="17"/>
        <v>6762350000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140</v>
      </c>
      <c r="H202" s="99">
        <f t="shared" si="15"/>
        <v>0</v>
      </c>
      <c r="I202" s="99">
        <f t="shared" si="13"/>
        <v>-420126000</v>
      </c>
      <c r="J202" s="99">
        <f t="shared" si="16"/>
        <v>0</v>
      </c>
      <c r="K202" s="99">
        <f t="shared" si="17"/>
        <v>-420126000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140</v>
      </c>
      <c r="H203" s="99">
        <f t="shared" si="15"/>
        <v>0</v>
      </c>
      <c r="I203" s="99">
        <f t="shared" si="13"/>
        <v>-700000</v>
      </c>
      <c r="J203" s="99">
        <f t="shared" si="16"/>
        <v>0</v>
      </c>
      <c r="K203" s="99">
        <f t="shared" si="17"/>
        <v>-700000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140</v>
      </c>
      <c r="H204" s="99">
        <f t="shared" si="15"/>
        <v>0</v>
      </c>
      <c r="I204" s="99">
        <f t="shared" si="13"/>
        <v>-4690000000</v>
      </c>
      <c r="J204" s="99">
        <f t="shared" si="16"/>
        <v>0</v>
      </c>
      <c r="K204" s="99">
        <f t="shared" si="17"/>
        <v>-4690000000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139</v>
      </c>
      <c r="H205" s="99">
        <f t="shared" si="15"/>
        <v>0</v>
      </c>
      <c r="I205" s="99">
        <f t="shared" si="13"/>
        <v>-1728465000</v>
      </c>
      <c r="J205" s="99">
        <f t="shared" si="16"/>
        <v>0</v>
      </c>
      <c r="K205" s="99">
        <f t="shared" si="17"/>
        <v>-1728465000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136</v>
      </c>
      <c r="H206" s="99">
        <f t="shared" si="15"/>
        <v>0</v>
      </c>
      <c r="I206" s="99">
        <f t="shared" si="13"/>
        <v>-2516000</v>
      </c>
      <c r="J206" s="99">
        <f t="shared" si="16"/>
        <v>0</v>
      </c>
      <c r="K206" s="99">
        <f t="shared" si="17"/>
        <v>-2516000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134</v>
      </c>
      <c r="H207" s="99">
        <f t="shared" si="15"/>
        <v>1</v>
      </c>
      <c r="I207" s="99">
        <f t="shared" si="13"/>
        <v>1925840</v>
      </c>
      <c r="J207" s="99">
        <f t="shared" ref="J207:J313" si="20">C207*(G207-H207)</f>
        <v>9426242</v>
      </c>
      <c r="K207" s="99">
        <f t="shared" si="17"/>
        <v>-7500402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133</v>
      </c>
      <c r="H208" s="99">
        <f t="shared" si="15"/>
        <v>1</v>
      </c>
      <c r="I208" s="99">
        <f t="shared" si="13"/>
        <v>109560000</v>
      </c>
      <c r="J208" s="99">
        <f t="shared" si="20"/>
        <v>0</v>
      </c>
      <c r="K208" s="99">
        <f t="shared" si="17"/>
        <v>109560000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131</v>
      </c>
      <c r="H209" s="99">
        <f t="shared" si="15"/>
        <v>0</v>
      </c>
      <c r="I209" s="99">
        <f t="shared" si="13"/>
        <v>-6869640</v>
      </c>
      <c r="J209" s="99">
        <f t="shared" si="20"/>
        <v>0</v>
      </c>
      <c r="K209" s="99">
        <f t="shared" si="17"/>
        <v>-6869640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130</v>
      </c>
      <c r="H210" s="99">
        <f t="shared" si="15"/>
        <v>0</v>
      </c>
      <c r="I210" s="99">
        <f t="shared" si="13"/>
        <v>-6643000</v>
      </c>
      <c r="J210" s="99">
        <f t="shared" si="20"/>
        <v>0</v>
      </c>
      <c r="K210" s="99">
        <f t="shared" si="17"/>
        <v>-6643000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129</v>
      </c>
      <c r="H211" s="99">
        <f t="shared" si="15"/>
        <v>0</v>
      </c>
      <c r="I211" s="99">
        <f t="shared" si="13"/>
        <v>-25800000</v>
      </c>
      <c r="J211" s="99">
        <f t="shared" si="20"/>
        <v>0</v>
      </c>
      <c r="K211" s="99">
        <f t="shared" si="17"/>
        <v>-25800000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128</v>
      </c>
      <c r="H212" s="99">
        <f t="shared" si="15"/>
        <v>0</v>
      </c>
      <c r="I212" s="99">
        <f t="shared" si="13"/>
        <v>-3584000</v>
      </c>
      <c r="J212" s="99">
        <f t="shared" si="20"/>
        <v>0</v>
      </c>
      <c r="K212" s="99">
        <f t="shared" si="17"/>
        <v>-3584000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127</v>
      </c>
      <c r="H213" s="99">
        <f t="shared" si="15"/>
        <v>0</v>
      </c>
      <c r="I213" s="99">
        <f t="shared" si="13"/>
        <v>-7505700</v>
      </c>
      <c r="J213" s="99">
        <f t="shared" si="20"/>
        <v>0</v>
      </c>
      <c r="K213" s="99">
        <f t="shared" si="17"/>
        <v>-7505700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126</v>
      </c>
      <c r="H214" s="99">
        <f t="shared" si="15"/>
        <v>0</v>
      </c>
      <c r="I214" s="99">
        <f t="shared" si="13"/>
        <v>-3780000</v>
      </c>
      <c r="J214" s="99">
        <f t="shared" si="20"/>
        <v>0</v>
      </c>
      <c r="K214" s="99">
        <f t="shared" si="17"/>
        <v>-3780000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126</v>
      </c>
      <c r="H215" s="99">
        <f t="shared" si="15"/>
        <v>0</v>
      </c>
      <c r="I215" s="99">
        <f t="shared" si="13"/>
        <v>-22428000</v>
      </c>
      <c r="J215" s="99">
        <f t="shared" si="20"/>
        <v>0</v>
      </c>
      <c r="K215" s="99">
        <f t="shared" si="17"/>
        <v>-22428000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125</v>
      </c>
      <c r="H216" s="99">
        <f t="shared" si="15"/>
        <v>0</v>
      </c>
      <c r="I216" s="99">
        <f t="shared" si="13"/>
        <v>-11951250</v>
      </c>
      <c r="J216" s="99">
        <f t="shared" si="20"/>
        <v>0</v>
      </c>
      <c r="K216" s="99">
        <f t="shared" si="17"/>
        <v>-11951250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122</v>
      </c>
      <c r="H217" s="99">
        <f t="shared" si="15"/>
        <v>0</v>
      </c>
      <c r="I217" s="99">
        <f t="shared" si="13"/>
        <v>-10248000</v>
      </c>
      <c r="J217" s="99">
        <f t="shared" si="20"/>
        <v>0</v>
      </c>
      <c r="K217" s="99">
        <f t="shared" si="17"/>
        <v>-10248000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120</v>
      </c>
      <c r="H218" s="99">
        <f t="shared" si="15"/>
        <v>0</v>
      </c>
      <c r="I218" s="99">
        <f t="shared" si="13"/>
        <v>-3960000</v>
      </c>
      <c r="J218" s="99">
        <f t="shared" si="20"/>
        <v>0</v>
      </c>
      <c r="K218" s="99">
        <f t="shared" si="17"/>
        <v>-3960000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117</v>
      </c>
      <c r="H219" s="99">
        <f t="shared" si="15"/>
        <v>1</v>
      </c>
      <c r="I219" s="99">
        <f t="shared" si="13"/>
        <v>179568000</v>
      </c>
      <c r="J219" s="99">
        <f t="shared" si="20"/>
        <v>0</v>
      </c>
      <c r="K219" s="99">
        <f t="shared" si="17"/>
        <v>179568000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116</v>
      </c>
      <c r="H220" s="99">
        <f t="shared" si="15"/>
        <v>0</v>
      </c>
      <c r="I220" s="99">
        <f t="shared" si="13"/>
        <v>-162481200</v>
      </c>
      <c r="J220" s="99">
        <f t="shared" si="20"/>
        <v>0</v>
      </c>
      <c r="K220" s="99">
        <f t="shared" si="17"/>
        <v>-162481200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116</v>
      </c>
      <c r="H221" s="99">
        <f t="shared" si="15"/>
        <v>0</v>
      </c>
      <c r="I221" s="99">
        <f t="shared" si="13"/>
        <v>-1160000</v>
      </c>
      <c r="J221" s="99">
        <f t="shared" si="20"/>
        <v>0</v>
      </c>
      <c r="K221" s="99">
        <f t="shared" si="17"/>
        <v>-1160000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116</v>
      </c>
      <c r="H222" s="99">
        <f t="shared" si="15"/>
        <v>0</v>
      </c>
      <c r="I222" s="99">
        <f t="shared" si="13"/>
        <v>-580000</v>
      </c>
      <c r="J222" s="99">
        <f t="shared" si="20"/>
        <v>-290000</v>
      </c>
      <c r="K222" s="99">
        <f t="shared" si="17"/>
        <v>-290000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110</v>
      </c>
      <c r="H223" s="99">
        <f t="shared" si="15"/>
        <v>0</v>
      </c>
      <c r="I223" s="99">
        <f t="shared" si="13"/>
        <v>-20900000</v>
      </c>
      <c r="J223" s="99">
        <f t="shared" si="20"/>
        <v>0</v>
      </c>
      <c r="K223" s="99">
        <f t="shared" si="17"/>
        <v>-20900000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103</v>
      </c>
      <c r="H224" s="99">
        <f t="shared" si="15"/>
        <v>1</v>
      </c>
      <c r="I224" s="99">
        <f t="shared" si="13"/>
        <v>194922</v>
      </c>
      <c r="J224" s="99">
        <f t="shared" si="20"/>
        <v>6627144</v>
      </c>
      <c r="K224" s="99">
        <f t="shared" si="17"/>
        <v>-6432222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97</v>
      </c>
      <c r="H225" s="99">
        <f t="shared" si="15"/>
        <v>1</v>
      </c>
      <c r="I225" s="99">
        <f t="shared" si="13"/>
        <v>480000000</v>
      </c>
      <c r="J225" s="99">
        <f t="shared" si="20"/>
        <v>0</v>
      </c>
      <c r="K225" s="99">
        <f t="shared" si="17"/>
        <v>480000000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96</v>
      </c>
      <c r="H226" s="99">
        <f t="shared" si="15"/>
        <v>0</v>
      </c>
      <c r="I226" s="99">
        <f t="shared" si="13"/>
        <v>-307200000</v>
      </c>
      <c r="J226" s="99">
        <f t="shared" si="20"/>
        <v>0</v>
      </c>
      <c r="K226" s="99">
        <f t="shared" si="17"/>
        <v>-307200000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96</v>
      </c>
      <c r="H227" s="99">
        <f t="shared" si="15"/>
        <v>1</v>
      </c>
      <c r="I227" s="99">
        <f t="shared" si="13"/>
        <v>228000000</v>
      </c>
      <c r="J227" s="99">
        <f t="shared" si="20"/>
        <v>0</v>
      </c>
      <c r="K227" s="99">
        <f t="shared" si="17"/>
        <v>228000000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94</v>
      </c>
      <c r="H228" s="99">
        <f t="shared" si="15"/>
        <v>0</v>
      </c>
      <c r="I228" s="99">
        <f t="shared" si="13"/>
        <v>-4700000</v>
      </c>
      <c r="J228" s="99">
        <f t="shared" si="20"/>
        <v>0</v>
      </c>
      <c r="K228" s="99">
        <f t="shared" si="17"/>
        <v>-4700000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93</v>
      </c>
      <c r="H229" s="99">
        <f t="shared" si="15"/>
        <v>0</v>
      </c>
      <c r="I229" s="99">
        <f t="shared" si="13"/>
        <v>-381365100</v>
      </c>
      <c r="J229" s="99">
        <f t="shared" si="20"/>
        <v>0</v>
      </c>
      <c r="K229" s="99">
        <f t="shared" si="17"/>
        <v>-381365100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89</v>
      </c>
      <c r="H230" s="99">
        <f t="shared" si="15"/>
        <v>1</v>
      </c>
      <c r="I230" s="99">
        <f t="shared" si="13"/>
        <v>853600000</v>
      </c>
      <c r="J230" s="99">
        <f t="shared" si="20"/>
        <v>0</v>
      </c>
      <c r="K230" s="99">
        <f t="shared" si="17"/>
        <v>853600000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89</v>
      </c>
      <c r="H231" s="99">
        <f t="shared" si="15"/>
        <v>0</v>
      </c>
      <c r="I231" s="99">
        <f t="shared" si="13"/>
        <v>-267080100</v>
      </c>
      <c r="J231" s="99">
        <f t="shared" si="20"/>
        <v>0</v>
      </c>
      <c r="K231" s="99">
        <f t="shared" si="17"/>
        <v>-267080100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88</v>
      </c>
      <c r="H232" s="99">
        <f t="shared" si="15"/>
        <v>0</v>
      </c>
      <c r="I232" s="99">
        <f t="shared" si="13"/>
        <v>-264079200</v>
      </c>
      <c r="J232" s="99">
        <f t="shared" si="20"/>
        <v>0</v>
      </c>
      <c r="K232" s="99">
        <f t="shared" si="17"/>
        <v>-264079200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88</v>
      </c>
      <c r="H233" s="99">
        <f t="shared" si="15"/>
        <v>0</v>
      </c>
      <c r="I233" s="99">
        <f t="shared" si="13"/>
        <v>-48840000</v>
      </c>
      <c r="J233" s="99">
        <f t="shared" si="20"/>
        <v>0</v>
      </c>
      <c r="K233" s="99">
        <f t="shared" si="17"/>
        <v>-48840000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87</v>
      </c>
      <c r="H234" s="99">
        <f t="shared" si="15"/>
        <v>0</v>
      </c>
      <c r="I234" s="99">
        <f t="shared" si="13"/>
        <v>-12037320</v>
      </c>
      <c r="J234" s="99">
        <f t="shared" si="20"/>
        <v>0</v>
      </c>
      <c r="K234" s="99">
        <f t="shared" si="17"/>
        <v>-12037320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86</v>
      </c>
      <c r="H235" s="99">
        <f t="shared" si="15"/>
        <v>0</v>
      </c>
      <c r="I235" s="99">
        <f t="shared" si="13"/>
        <v>-258077400</v>
      </c>
      <c r="J235" s="99">
        <f t="shared" si="20"/>
        <v>0</v>
      </c>
      <c r="K235" s="99">
        <f t="shared" si="17"/>
        <v>-258077400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84</v>
      </c>
      <c r="H236" s="99">
        <f t="shared" si="15"/>
        <v>0</v>
      </c>
      <c r="I236" s="99">
        <f t="shared" si="13"/>
        <v>-4620000</v>
      </c>
      <c r="J236" s="99">
        <f t="shared" si="20"/>
        <v>0</v>
      </c>
      <c r="K236" s="99">
        <f t="shared" si="17"/>
        <v>-4620000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80</v>
      </c>
      <c r="H237" s="99">
        <f t="shared" si="15"/>
        <v>1</v>
      </c>
      <c r="I237" s="99">
        <f t="shared" si="13"/>
        <v>476765000</v>
      </c>
      <c r="J237" s="99">
        <f t="shared" si="20"/>
        <v>0</v>
      </c>
      <c r="K237" s="99">
        <f t="shared" si="17"/>
        <v>476765000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78</v>
      </c>
      <c r="H238" s="99">
        <f t="shared" si="15"/>
        <v>0</v>
      </c>
      <c r="I238" s="99">
        <f t="shared" si="13"/>
        <v>-585000</v>
      </c>
      <c r="J238" s="99">
        <f t="shared" si="20"/>
        <v>0</v>
      </c>
      <c r="K238" s="99">
        <f t="shared" si="17"/>
        <v>-585000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77</v>
      </c>
      <c r="H239" s="99">
        <f t="shared" si="15"/>
        <v>0</v>
      </c>
      <c r="I239" s="99">
        <f t="shared" si="13"/>
        <v>-315586271</v>
      </c>
      <c r="J239" s="99">
        <f t="shared" si="20"/>
        <v>0</v>
      </c>
      <c r="K239" s="99">
        <f t="shared" si="17"/>
        <v>-315586271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77</v>
      </c>
      <c r="H240" s="99">
        <f t="shared" si="15"/>
        <v>0</v>
      </c>
      <c r="I240" s="99">
        <f t="shared" si="13"/>
        <v>-2558325</v>
      </c>
      <c r="J240" s="99">
        <f t="shared" si="20"/>
        <v>0</v>
      </c>
      <c r="K240" s="99">
        <f t="shared" si="17"/>
        <v>-2558325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77</v>
      </c>
      <c r="H241" s="99">
        <f t="shared" si="15"/>
        <v>0</v>
      </c>
      <c r="I241" s="99">
        <f t="shared" si="13"/>
        <v>-145915000</v>
      </c>
      <c r="J241" s="99">
        <f t="shared" si="20"/>
        <v>0</v>
      </c>
      <c r="K241" s="99">
        <f t="shared" si="17"/>
        <v>-145915000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70</v>
      </c>
      <c r="H242" s="99">
        <f t="shared" si="15"/>
        <v>1</v>
      </c>
      <c r="I242" s="99">
        <f t="shared" si="13"/>
        <v>172500000</v>
      </c>
      <c r="J242" s="99">
        <f t="shared" si="20"/>
        <v>0</v>
      </c>
      <c r="K242" s="99">
        <f t="shared" si="17"/>
        <v>172500000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68</v>
      </c>
      <c r="H243" s="99">
        <f t="shared" si="15"/>
        <v>0</v>
      </c>
      <c r="I243" s="99">
        <f t="shared" si="13"/>
        <v>-170000000</v>
      </c>
      <c r="J243" s="99">
        <f t="shared" si="20"/>
        <v>0</v>
      </c>
      <c r="K243" s="99">
        <f t="shared" si="17"/>
        <v>-170000000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66</v>
      </c>
      <c r="H244" s="99">
        <f t="shared" si="15"/>
        <v>1</v>
      </c>
      <c r="I244" s="99">
        <f t="shared" si="13"/>
        <v>71500000</v>
      </c>
      <c r="J244" s="99">
        <f t="shared" si="20"/>
        <v>0</v>
      </c>
      <c r="K244" s="99">
        <f t="shared" si="17"/>
        <v>71500000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64</v>
      </c>
      <c r="H245" s="99">
        <f t="shared" si="15"/>
        <v>1</v>
      </c>
      <c r="I245" s="99">
        <f t="shared" si="13"/>
        <v>189000000</v>
      </c>
      <c r="J245" s="99">
        <f t="shared" si="20"/>
        <v>0</v>
      </c>
      <c r="K245" s="99">
        <f t="shared" si="17"/>
        <v>189000000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62</v>
      </c>
      <c r="H246" s="99">
        <f t="shared" si="15"/>
        <v>0</v>
      </c>
      <c r="I246" s="99">
        <f t="shared" si="13"/>
        <v>-250523400</v>
      </c>
      <c r="J246" s="99">
        <f t="shared" si="20"/>
        <v>0</v>
      </c>
      <c r="K246" s="99">
        <f t="shared" si="17"/>
        <v>-250523400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62</v>
      </c>
      <c r="H247" s="99">
        <f t="shared" si="15"/>
        <v>1</v>
      </c>
      <c r="I247" s="99">
        <f t="shared" si="13"/>
        <v>29890000</v>
      </c>
      <c r="J247" s="99">
        <f t="shared" si="20"/>
        <v>0</v>
      </c>
      <c r="K247" s="99">
        <f t="shared" si="17"/>
        <v>29890000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61</v>
      </c>
      <c r="H248" s="99">
        <f t="shared" si="15"/>
        <v>1</v>
      </c>
      <c r="I248" s="99">
        <f t="shared" si="13"/>
        <v>84000000</v>
      </c>
      <c r="J248" s="99">
        <f t="shared" si="20"/>
        <v>0</v>
      </c>
      <c r="K248" s="99">
        <f t="shared" si="17"/>
        <v>84000000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61</v>
      </c>
      <c r="H249" s="99">
        <f t="shared" si="15"/>
        <v>0</v>
      </c>
      <c r="I249" s="99">
        <f t="shared" si="13"/>
        <v>-91500000</v>
      </c>
      <c r="J249" s="99">
        <f t="shared" si="20"/>
        <v>0</v>
      </c>
      <c r="K249" s="99">
        <f t="shared" si="17"/>
        <v>-91500000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60</v>
      </c>
      <c r="H250" s="99">
        <f t="shared" si="15"/>
        <v>0</v>
      </c>
      <c r="I250" s="99">
        <f t="shared" si="13"/>
        <v>-6000000</v>
      </c>
      <c r="J250" s="99">
        <f t="shared" si="20"/>
        <v>0</v>
      </c>
      <c r="K250" s="99">
        <f t="shared" si="17"/>
        <v>-6000000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59</v>
      </c>
      <c r="H251" s="99">
        <f t="shared" si="15"/>
        <v>0</v>
      </c>
      <c r="I251" s="99">
        <f t="shared" si="13"/>
        <v>-820100</v>
      </c>
      <c r="J251" s="99">
        <f t="shared" si="20"/>
        <v>0</v>
      </c>
      <c r="K251" s="99">
        <f t="shared" si="17"/>
        <v>-820100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59</v>
      </c>
      <c r="H252" s="99">
        <f t="shared" si="15"/>
        <v>1</v>
      </c>
      <c r="I252" s="99">
        <f t="shared" si="13"/>
        <v>17400000</v>
      </c>
      <c r="J252" s="99">
        <f t="shared" si="20"/>
        <v>0</v>
      </c>
      <c r="K252" s="99">
        <f t="shared" si="17"/>
        <v>17400000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57</v>
      </c>
      <c r="H253" s="99">
        <f t="shared" si="15"/>
        <v>1</v>
      </c>
      <c r="I253" s="99">
        <f t="shared" si="13"/>
        <v>672000000</v>
      </c>
      <c r="J253" s="99">
        <f t="shared" si="20"/>
        <v>0</v>
      </c>
      <c r="K253" s="99">
        <f t="shared" si="17"/>
        <v>672000000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56</v>
      </c>
      <c r="H254" s="99">
        <f t="shared" si="15"/>
        <v>1</v>
      </c>
      <c r="I254" s="99">
        <f t="shared" si="13"/>
        <v>165000000</v>
      </c>
      <c r="J254" s="99">
        <f t="shared" si="20"/>
        <v>0</v>
      </c>
      <c r="K254" s="99">
        <f t="shared" si="17"/>
        <v>165000000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55</v>
      </c>
      <c r="H255" s="99">
        <f t="shared" si="15"/>
        <v>0</v>
      </c>
      <c r="I255" s="99">
        <f t="shared" si="13"/>
        <v>-770000000</v>
      </c>
      <c r="J255" s="99">
        <f t="shared" si="20"/>
        <v>0</v>
      </c>
      <c r="K255" s="99">
        <f t="shared" si="17"/>
        <v>-770000000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54</v>
      </c>
      <c r="H256" s="99">
        <f t="shared" si="15"/>
        <v>0</v>
      </c>
      <c r="I256" s="99">
        <f t="shared" si="13"/>
        <v>-6748326</v>
      </c>
      <c r="J256" s="99">
        <f t="shared" si="20"/>
        <v>0</v>
      </c>
      <c r="K256" s="99">
        <f t="shared" si="17"/>
        <v>-6748326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54</v>
      </c>
      <c r="H257" s="99">
        <f t="shared" si="15"/>
        <v>0</v>
      </c>
      <c r="I257" s="99">
        <f t="shared" si="13"/>
        <v>0</v>
      </c>
      <c r="J257" s="99">
        <f t="shared" si="20"/>
        <v>-430314606</v>
      </c>
      <c r="K257" s="99">
        <f t="shared" si="17"/>
        <v>430314606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53</v>
      </c>
      <c r="H258" s="99">
        <f t="shared" si="15"/>
        <v>0</v>
      </c>
      <c r="I258" s="99">
        <f t="shared" si="13"/>
        <v>-69589000</v>
      </c>
      <c r="J258" s="99">
        <f t="shared" si="20"/>
        <v>0</v>
      </c>
      <c r="K258" s="99">
        <f t="shared" si="17"/>
        <v>-69589000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50</v>
      </c>
      <c r="H259" s="99">
        <f t="shared" si="15"/>
        <v>1</v>
      </c>
      <c r="I259" s="99">
        <f t="shared" si="13"/>
        <v>98000000</v>
      </c>
      <c r="J259" s="99">
        <f t="shared" si="20"/>
        <v>0</v>
      </c>
      <c r="K259" s="99">
        <f t="shared" si="17"/>
        <v>98000000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49</v>
      </c>
      <c r="H260" s="99">
        <f t="shared" si="15"/>
        <v>0</v>
      </c>
      <c r="I260" s="99">
        <f t="shared" si="13"/>
        <v>-93100000</v>
      </c>
      <c r="J260" s="99">
        <f t="shared" si="20"/>
        <v>0</v>
      </c>
      <c r="K260" s="99">
        <f t="shared" si="17"/>
        <v>-93100000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49</v>
      </c>
      <c r="H261" s="99">
        <f t="shared" si="15"/>
        <v>0</v>
      </c>
      <c r="I261" s="99">
        <f t="shared" si="13"/>
        <v>-4924500</v>
      </c>
      <c r="J261" s="99">
        <f t="shared" si="20"/>
        <v>0</v>
      </c>
      <c r="K261" s="99">
        <f t="shared" si="17"/>
        <v>-4924500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49</v>
      </c>
      <c r="H262" s="99">
        <f t="shared" si="15"/>
        <v>0</v>
      </c>
      <c r="I262" s="99">
        <f t="shared" si="13"/>
        <v>-3364830</v>
      </c>
      <c r="J262" s="99">
        <f t="shared" si="20"/>
        <v>0</v>
      </c>
      <c r="K262" s="99">
        <f t="shared" si="17"/>
        <v>-3364830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48</v>
      </c>
      <c r="H263" s="99">
        <f t="shared" si="15"/>
        <v>0</v>
      </c>
      <c r="I263" s="99">
        <f t="shared" si="13"/>
        <v>-5692800</v>
      </c>
      <c r="J263" s="99">
        <f t="shared" si="20"/>
        <v>0</v>
      </c>
      <c r="K263" s="99">
        <f t="shared" si="17"/>
        <v>-5692800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46</v>
      </c>
      <c r="H264" s="99">
        <f t="shared" si="15"/>
        <v>1</v>
      </c>
      <c r="I264" s="99">
        <f t="shared" si="13"/>
        <v>305055000</v>
      </c>
      <c r="J264" s="99">
        <f t="shared" si="20"/>
        <v>0</v>
      </c>
      <c r="K264" s="99">
        <f t="shared" si="17"/>
        <v>305055000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46</v>
      </c>
      <c r="H265" s="99">
        <f t="shared" si="15"/>
        <v>0</v>
      </c>
      <c r="I265" s="99">
        <f t="shared" si="13"/>
        <v>-294400000</v>
      </c>
      <c r="J265" s="99">
        <f t="shared" si="20"/>
        <v>0</v>
      </c>
      <c r="K265" s="99">
        <f t="shared" si="17"/>
        <v>-294400000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46</v>
      </c>
      <c r="H266" s="99">
        <f t="shared" si="15"/>
        <v>0</v>
      </c>
      <c r="I266" s="99">
        <f t="shared" si="13"/>
        <v>-17894000</v>
      </c>
      <c r="J266" s="99">
        <f t="shared" si="20"/>
        <v>0</v>
      </c>
      <c r="K266" s="99">
        <f t="shared" si="17"/>
        <v>-17894000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42</v>
      </c>
      <c r="H267" s="99">
        <f t="shared" si="15"/>
        <v>1</v>
      </c>
      <c r="I267" s="99">
        <f t="shared" si="13"/>
        <v>9020000</v>
      </c>
      <c r="J267" s="99">
        <f t="shared" si="20"/>
        <v>0</v>
      </c>
      <c r="K267" s="99">
        <f t="shared" si="17"/>
        <v>9020000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42</v>
      </c>
      <c r="H268" s="99">
        <f t="shared" si="15"/>
        <v>0</v>
      </c>
      <c r="I268" s="99">
        <f t="shared" si="13"/>
        <v>-4594380</v>
      </c>
      <c r="J268" s="99">
        <f t="shared" si="20"/>
        <v>0</v>
      </c>
      <c r="K268" s="99">
        <f t="shared" si="17"/>
        <v>-4594380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40</v>
      </c>
      <c r="H269" s="99">
        <f t="shared" si="15"/>
        <v>1</v>
      </c>
      <c r="I269" s="99">
        <f t="shared" si="13"/>
        <v>3900000</v>
      </c>
      <c r="J269" s="99">
        <f t="shared" si="20"/>
        <v>0</v>
      </c>
      <c r="K269" s="99">
        <f t="shared" si="17"/>
        <v>3900000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40</v>
      </c>
      <c r="H270" s="99">
        <f t="shared" si="15"/>
        <v>1</v>
      </c>
      <c r="I270" s="99">
        <f t="shared" si="13"/>
        <v>101400000</v>
      </c>
      <c r="J270" s="99">
        <f t="shared" si="20"/>
        <v>0</v>
      </c>
      <c r="K270" s="99">
        <f t="shared" si="17"/>
        <v>101400000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39</v>
      </c>
      <c r="H271" s="99">
        <f t="shared" si="15"/>
        <v>1</v>
      </c>
      <c r="I271" s="99">
        <f t="shared" si="13"/>
        <v>167200000</v>
      </c>
      <c r="J271" s="99">
        <f t="shared" si="20"/>
        <v>0</v>
      </c>
      <c r="K271" s="99">
        <f t="shared" si="17"/>
        <v>167200000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39</v>
      </c>
      <c r="H272" s="99">
        <f t="shared" si="15"/>
        <v>0</v>
      </c>
      <c r="I272" s="99">
        <f t="shared" si="13"/>
        <v>-3705000</v>
      </c>
      <c r="J272" s="99">
        <f t="shared" si="20"/>
        <v>0</v>
      </c>
      <c r="K272" s="99">
        <f t="shared" si="17"/>
        <v>-3705000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4585</v>
      </c>
      <c r="F273" s="99">
        <v>1</v>
      </c>
      <c r="G273" s="36">
        <f t="shared" si="21"/>
        <v>38</v>
      </c>
      <c r="H273" s="99">
        <f t="shared" si="15"/>
        <v>0</v>
      </c>
      <c r="I273" s="99">
        <f t="shared" si="13"/>
        <v>-34200000</v>
      </c>
      <c r="J273" s="99">
        <f t="shared" si="20"/>
        <v>0</v>
      </c>
      <c r="K273" s="99">
        <f t="shared" si="17"/>
        <v>-34200000</v>
      </c>
    </row>
    <row r="274" spans="1:12">
      <c r="A274" s="99" t="s">
        <v>4582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37</v>
      </c>
      <c r="H274" s="99">
        <f t="shared" si="15"/>
        <v>1</v>
      </c>
      <c r="I274" s="99">
        <f t="shared" si="13"/>
        <v>90000000</v>
      </c>
      <c r="J274" s="99">
        <f t="shared" si="20"/>
        <v>0</v>
      </c>
      <c r="K274" s="99">
        <f t="shared" si="17"/>
        <v>90000000</v>
      </c>
    </row>
    <row r="275" spans="1:12">
      <c r="A275" s="99" t="s">
        <v>4582</v>
      </c>
      <c r="B275" s="18">
        <v>-1287000</v>
      </c>
      <c r="C275" s="18">
        <v>0</v>
      </c>
      <c r="D275" s="18">
        <f t="shared" si="18"/>
        <v>-1287000</v>
      </c>
      <c r="E275" s="99" t="s">
        <v>4583</v>
      </c>
      <c r="F275" s="99">
        <v>2</v>
      </c>
      <c r="G275" s="36">
        <f t="shared" si="21"/>
        <v>37</v>
      </c>
      <c r="H275" s="99">
        <f t="shared" si="15"/>
        <v>0</v>
      </c>
      <c r="I275" s="99">
        <f t="shared" si="13"/>
        <v>-47619000</v>
      </c>
      <c r="J275" s="99">
        <f t="shared" si="20"/>
        <v>0</v>
      </c>
      <c r="K275" s="99">
        <f t="shared" si="17"/>
        <v>-47619000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35</v>
      </c>
      <c r="H276" s="99">
        <f t="shared" si="15"/>
        <v>1</v>
      </c>
      <c r="I276" s="99">
        <f t="shared" si="13"/>
        <v>129200000</v>
      </c>
      <c r="J276" s="99">
        <f t="shared" si="20"/>
        <v>0</v>
      </c>
      <c r="K276" s="99">
        <f t="shared" si="17"/>
        <v>129200000</v>
      </c>
    </row>
    <row r="277" spans="1:12">
      <c r="A277" s="99" t="s">
        <v>4592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34</v>
      </c>
      <c r="H277" s="99">
        <f t="shared" si="15"/>
        <v>1</v>
      </c>
      <c r="I277" s="99">
        <f t="shared" si="13"/>
        <v>693000000</v>
      </c>
      <c r="J277" s="99">
        <f t="shared" si="20"/>
        <v>0</v>
      </c>
      <c r="K277" s="99">
        <f t="shared" si="17"/>
        <v>693000000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33</v>
      </c>
      <c r="H278" s="99">
        <f t="shared" si="15"/>
        <v>1</v>
      </c>
      <c r="I278" s="99">
        <f t="shared" si="13"/>
        <v>96000000</v>
      </c>
      <c r="J278" s="99">
        <f t="shared" si="20"/>
        <v>0</v>
      </c>
      <c r="K278" s="99">
        <f t="shared" si="17"/>
        <v>96000000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33</v>
      </c>
      <c r="H279" s="99">
        <f t="shared" si="15"/>
        <v>1</v>
      </c>
      <c r="I279" s="99">
        <f t="shared" si="13"/>
        <v>64000000</v>
      </c>
      <c r="J279" s="99">
        <f t="shared" si="20"/>
        <v>0</v>
      </c>
      <c r="K279" s="99">
        <f t="shared" si="17"/>
        <v>64000000</v>
      </c>
    </row>
    <row r="280" spans="1:12">
      <c r="A280" s="99" t="s">
        <v>4599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32</v>
      </c>
      <c r="H280" s="99">
        <f t="shared" si="15"/>
        <v>0</v>
      </c>
      <c r="I280" s="99">
        <f t="shared" si="13"/>
        <v>-64000000</v>
      </c>
      <c r="J280" s="99">
        <f t="shared" si="20"/>
        <v>0</v>
      </c>
      <c r="K280" s="99">
        <f t="shared" si="17"/>
        <v>-64000000</v>
      </c>
    </row>
    <row r="281" spans="1:12">
      <c r="A281" s="99" t="s">
        <v>4601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31</v>
      </c>
      <c r="H281" s="99">
        <f t="shared" si="15"/>
        <v>0</v>
      </c>
      <c r="I281" s="99">
        <f t="shared" si="13"/>
        <v>-310000000</v>
      </c>
      <c r="J281" s="99">
        <f t="shared" si="20"/>
        <v>0</v>
      </c>
      <c r="K281" s="99">
        <f t="shared" si="17"/>
        <v>-310000000</v>
      </c>
    </row>
    <row r="282" spans="1:12">
      <c r="A282" s="99" t="s">
        <v>4603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27</v>
      </c>
      <c r="H282" s="99">
        <f t="shared" si="15"/>
        <v>0</v>
      </c>
      <c r="I282" s="99">
        <f t="shared" si="13"/>
        <v>-450900000</v>
      </c>
      <c r="J282" s="99">
        <f t="shared" ref="J282:J296" si="22">C282*(G282-H282)</f>
        <v>0</v>
      </c>
      <c r="K282" s="99">
        <f t="shared" ref="K282:K296" si="23">D282*(G282-H282)</f>
        <v>-450900000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25</v>
      </c>
      <c r="H283" s="99">
        <f t="shared" si="15"/>
        <v>1</v>
      </c>
      <c r="I283" s="99">
        <f t="shared" si="13"/>
        <v>288000000</v>
      </c>
      <c r="J283" s="99">
        <f t="shared" si="22"/>
        <v>0</v>
      </c>
      <c r="K283" s="99">
        <f t="shared" si="23"/>
        <v>288000000</v>
      </c>
    </row>
    <row r="284" spans="1:12">
      <c r="A284" s="99" t="s">
        <v>4617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24</v>
      </c>
      <c r="H284" s="99">
        <f t="shared" si="15"/>
        <v>1</v>
      </c>
      <c r="I284" s="99">
        <f t="shared" si="13"/>
        <v>43700000</v>
      </c>
      <c r="J284" s="99">
        <f t="shared" si="22"/>
        <v>0</v>
      </c>
      <c r="K284" s="99">
        <f t="shared" si="23"/>
        <v>43700000</v>
      </c>
    </row>
    <row r="285" spans="1:12">
      <c r="A285" s="99" t="s">
        <v>4617</v>
      </c>
      <c r="B285" s="18">
        <v>-3995000</v>
      </c>
      <c r="C285" s="18">
        <v>0</v>
      </c>
      <c r="D285" s="18">
        <f t="shared" si="18"/>
        <v>-3995000</v>
      </c>
      <c r="E285" s="99" t="s">
        <v>4619</v>
      </c>
      <c r="F285" s="99">
        <v>3</v>
      </c>
      <c r="G285" s="36">
        <f t="shared" si="21"/>
        <v>24</v>
      </c>
      <c r="H285" s="99">
        <f t="shared" si="15"/>
        <v>0</v>
      </c>
      <c r="I285" s="99">
        <f t="shared" si="13"/>
        <v>-95880000</v>
      </c>
      <c r="J285" s="99">
        <f t="shared" si="22"/>
        <v>0</v>
      </c>
      <c r="K285" s="99">
        <f t="shared" si="23"/>
        <v>-95880000</v>
      </c>
    </row>
    <row r="286" spans="1:12">
      <c r="A286" s="99" t="s">
        <v>4627</v>
      </c>
      <c r="B286" s="18">
        <v>-2010700</v>
      </c>
      <c r="C286" s="18">
        <v>0</v>
      </c>
      <c r="D286" s="18">
        <f t="shared" si="18"/>
        <v>-2010700</v>
      </c>
      <c r="E286" s="99" t="s">
        <v>4632</v>
      </c>
      <c r="F286" s="99">
        <v>0</v>
      </c>
      <c r="G286" s="36">
        <f t="shared" si="21"/>
        <v>21</v>
      </c>
      <c r="H286" s="99">
        <f t="shared" si="15"/>
        <v>0</v>
      </c>
      <c r="I286" s="99">
        <f t="shared" si="13"/>
        <v>-42224700</v>
      </c>
      <c r="J286" s="99">
        <f t="shared" si="22"/>
        <v>0</v>
      </c>
      <c r="K286" s="99">
        <f t="shared" si="23"/>
        <v>-42224700</v>
      </c>
    </row>
    <row r="287" spans="1:12">
      <c r="A287" s="99" t="s">
        <v>4627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21</v>
      </c>
      <c r="H287" s="99">
        <f t="shared" si="15"/>
        <v>0</v>
      </c>
      <c r="I287" s="99">
        <f t="shared" si="13"/>
        <v>-84000000</v>
      </c>
      <c r="J287" s="99">
        <f t="shared" si="22"/>
        <v>0</v>
      </c>
      <c r="K287" s="99">
        <f t="shared" si="23"/>
        <v>-84000000</v>
      </c>
    </row>
    <row r="288" spans="1:12">
      <c r="A288" s="99" t="s">
        <v>4633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20</v>
      </c>
      <c r="H288" s="99">
        <f t="shared" si="15"/>
        <v>0</v>
      </c>
      <c r="I288" s="99">
        <f t="shared" si="13"/>
        <v>-114000000</v>
      </c>
      <c r="J288" s="99">
        <f t="shared" si="22"/>
        <v>0</v>
      </c>
      <c r="K288" s="99">
        <f t="shared" si="23"/>
        <v>-114000000</v>
      </c>
      <c r="L288" t="s">
        <v>25</v>
      </c>
    </row>
    <row r="289" spans="1:13">
      <c r="A289" s="99" t="s">
        <v>4643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18</v>
      </c>
      <c r="H289" s="99">
        <f t="shared" si="15"/>
        <v>1</v>
      </c>
      <c r="I289" s="99">
        <f t="shared" si="13"/>
        <v>136000000</v>
      </c>
      <c r="J289" s="99">
        <f t="shared" si="22"/>
        <v>0</v>
      </c>
      <c r="K289" s="99">
        <f t="shared" si="23"/>
        <v>136000000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17</v>
      </c>
      <c r="H290" s="99">
        <f t="shared" si="15"/>
        <v>0</v>
      </c>
      <c r="I290" s="99">
        <f t="shared" si="13"/>
        <v>-136000000</v>
      </c>
      <c r="J290" s="99">
        <f t="shared" si="22"/>
        <v>0</v>
      </c>
      <c r="K290" s="99">
        <f t="shared" si="23"/>
        <v>-136000000</v>
      </c>
    </row>
    <row r="291" spans="1:13">
      <c r="A291" s="99" t="s">
        <v>4649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14</v>
      </c>
      <c r="H291" s="99">
        <f t="shared" si="15"/>
        <v>0</v>
      </c>
      <c r="I291" s="99">
        <f t="shared" si="13"/>
        <v>-84000000</v>
      </c>
      <c r="J291" s="99">
        <f t="shared" si="22"/>
        <v>0</v>
      </c>
      <c r="K291" s="99">
        <f t="shared" si="23"/>
        <v>-84000000</v>
      </c>
    </row>
    <row r="292" spans="1:13">
      <c r="A292" s="99" t="s">
        <v>4649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14</v>
      </c>
      <c r="H292" s="99">
        <f t="shared" si="15"/>
        <v>0</v>
      </c>
      <c r="I292" s="99">
        <f t="shared" si="13"/>
        <v>-1082410</v>
      </c>
      <c r="J292" s="99">
        <f t="shared" si="22"/>
        <v>0</v>
      </c>
      <c r="K292" s="99">
        <f t="shared" si="23"/>
        <v>-1082410</v>
      </c>
    </row>
    <row r="293" spans="1:13">
      <c r="A293" s="99" t="s">
        <v>4657</v>
      </c>
      <c r="B293" s="18">
        <v>-96850</v>
      </c>
      <c r="C293" s="18">
        <v>0</v>
      </c>
      <c r="D293" s="18">
        <f t="shared" si="18"/>
        <v>-96850</v>
      </c>
      <c r="E293" s="99" t="s">
        <v>4668</v>
      </c>
      <c r="F293" s="99">
        <v>2</v>
      </c>
      <c r="G293" s="36">
        <f t="shared" si="21"/>
        <v>13</v>
      </c>
      <c r="H293" s="99">
        <f t="shared" si="15"/>
        <v>0</v>
      </c>
      <c r="I293" s="99">
        <f t="shared" si="13"/>
        <v>-1259050</v>
      </c>
      <c r="J293" s="99">
        <f t="shared" si="22"/>
        <v>0</v>
      </c>
      <c r="K293" s="99">
        <f t="shared" si="23"/>
        <v>-1259050</v>
      </c>
    </row>
    <row r="294" spans="1:13">
      <c r="A294" s="99" t="s">
        <v>4672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11</v>
      </c>
      <c r="H294" s="99">
        <f t="shared" si="15"/>
        <v>0</v>
      </c>
      <c r="I294" s="99">
        <f t="shared" si="13"/>
        <v>-495000</v>
      </c>
      <c r="J294" s="99">
        <f t="shared" si="22"/>
        <v>0</v>
      </c>
      <c r="K294" s="99">
        <f t="shared" si="23"/>
        <v>-495000</v>
      </c>
    </row>
    <row r="295" spans="1:13">
      <c r="A295" s="99" t="s">
        <v>4672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11</v>
      </c>
      <c r="H295" s="99">
        <f t="shared" si="15"/>
        <v>0</v>
      </c>
      <c r="I295" s="99">
        <f t="shared" si="13"/>
        <v>-526328</v>
      </c>
      <c r="J295" s="99">
        <f t="shared" si="22"/>
        <v>0</v>
      </c>
      <c r="K295" s="99">
        <f t="shared" si="23"/>
        <v>-526328</v>
      </c>
      <c r="M295" t="s">
        <v>25</v>
      </c>
    </row>
    <row r="296" spans="1:13">
      <c r="A296" s="99" t="s">
        <v>4689</v>
      </c>
      <c r="B296" s="18">
        <v>-200000</v>
      </c>
      <c r="C296" s="18">
        <v>0</v>
      </c>
      <c r="D296" s="18">
        <f t="shared" si="18"/>
        <v>-200000</v>
      </c>
      <c r="E296" s="99" t="s">
        <v>4690</v>
      </c>
      <c r="F296" s="99">
        <v>3</v>
      </c>
      <c r="G296" s="36">
        <f t="shared" si="21"/>
        <v>10</v>
      </c>
      <c r="H296" s="99">
        <f t="shared" si="15"/>
        <v>0</v>
      </c>
      <c r="I296" s="99">
        <f t="shared" si="13"/>
        <v>-2000000</v>
      </c>
      <c r="J296" s="99">
        <f t="shared" si="22"/>
        <v>0</v>
      </c>
      <c r="K296" s="99">
        <f t="shared" si="23"/>
        <v>-2000000</v>
      </c>
    </row>
    <row r="297" spans="1:13">
      <c r="A297" s="99" t="s">
        <v>4703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7</v>
      </c>
      <c r="H297" s="99">
        <f t="shared" si="15"/>
        <v>0</v>
      </c>
      <c r="I297" s="99">
        <f t="shared" ref="I297:I312" si="24">B297*(G297-H297)</f>
        <v>-423220</v>
      </c>
      <c r="J297" s="99">
        <f t="shared" ref="J297:J312" si="25">C297*(G297-H297)</f>
        <v>0</v>
      </c>
      <c r="K297" s="99">
        <f t="shared" ref="K297:K312" si="26">D297*(G297-H297)</f>
        <v>-423220</v>
      </c>
    </row>
    <row r="298" spans="1:13">
      <c r="A298" s="99" t="s">
        <v>4709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6</v>
      </c>
      <c r="H298" s="99">
        <f t="shared" si="15"/>
        <v>0</v>
      </c>
      <c r="I298" s="99">
        <f t="shared" si="24"/>
        <v>-360000</v>
      </c>
      <c r="J298" s="99">
        <f t="shared" si="25"/>
        <v>0</v>
      </c>
      <c r="K298" s="99">
        <f t="shared" si="26"/>
        <v>-360000</v>
      </c>
    </row>
    <row r="299" spans="1:13">
      <c r="A299" s="99" t="s">
        <v>4709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6</v>
      </c>
      <c r="H299" s="99">
        <f t="shared" si="15"/>
        <v>1</v>
      </c>
      <c r="I299" s="99">
        <f t="shared" si="24"/>
        <v>12000000</v>
      </c>
      <c r="J299" s="99">
        <f t="shared" si="25"/>
        <v>0</v>
      </c>
      <c r="K299" s="99">
        <f t="shared" si="26"/>
        <v>12000000</v>
      </c>
    </row>
    <row r="300" spans="1:13">
      <c r="A300" s="99" t="s">
        <v>4709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6</v>
      </c>
      <c r="H300" s="99">
        <f t="shared" si="15"/>
        <v>0</v>
      </c>
      <c r="I300" s="99">
        <f t="shared" si="24"/>
        <v>-822978</v>
      </c>
      <c r="J300" s="99">
        <f t="shared" si="25"/>
        <v>0</v>
      </c>
      <c r="K300" s="99">
        <f t="shared" si="26"/>
        <v>-822978</v>
      </c>
      <c r="L300" t="s">
        <v>25</v>
      </c>
      <c r="M300" t="s">
        <v>25</v>
      </c>
    </row>
    <row r="301" spans="1:13">
      <c r="A301" s="99" t="s">
        <v>4709</v>
      </c>
      <c r="B301" s="18">
        <v>-51400</v>
      </c>
      <c r="C301" s="18">
        <v>0</v>
      </c>
      <c r="D301" s="18">
        <f t="shared" si="18"/>
        <v>-51400</v>
      </c>
      <c r="E301" s="99" t="s">
        <v>4716</v>
      </c>
      <c r="F301" s="99">
        <v>1</v>
      </c>
      <c r="G301" s="36">
        <f t="shared" si="27"/>
        <v>6</v>
      </c>
      <c r="H301" s="99">
        <f t="shared" si="15"/>
        <v>0</v>
      </c>
      <c r="I301" s="99">
        <f t="shared" si="24"/>
        <v>-308400</v>
      </c>
      <c r="J301" s="99">
        <f t="shared" si="25"/>
        <v>0</v>
      </c>
      <c r="K301" s="99">
        <f t="shared" si="26"/>
        <v>-308400</v>
      </c>
    </row>
    <row r="302" spans="1:13">
      <c r="A302" s="99" t="s">
        <v>4719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5</v>
      </c>
      <c r="H302" s="99">
        <f t="shared" si="15"/>
        <v>0</v>
      </c>
      <c r="I302" s="99">
        <f t="shared" si="24"/>
        <v>-11250000</v>
      </c>
      <c r="J302" s="99">
        <f t="shared" si="25"/>
        <v>0</v>
      </c>
      <c r="K302" s="99">
        <f t="shared" si="26"/>
        <v>-11250000</v>
      </c>
      <c r="M302" t="s">
        <v>25</v>
      </c>
    </row>
    <row r="303" spans="1:13">
      <c r="A303" s="99" t="s">
        <v>4719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5</v>
      </c>
      <c r="H303" s="99">
        <f t="shared" si="15"/>
        <v>1</v>
      </c>
      <c r="I303" s="99">
        <f t="shared" si="24"/>
        <v>2800000</v>
      </c>
      <c r="J303" s="99">
        <f t="shared" si="25"/>
        <v>0</v>
      </c>
      <c r="K303" s="99">
        <f t="shared" si="26"/>
        <v>2800000</v>
      </c>
    </row>
    <row r="304" spans="1:13">
      <c r="A304" s="99" t="s">
        <v>4757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0</v>
      </c>
      <c r="G304" s="36">
        <f t="shared" si="27"/>
        <v>3</v>
      </c>
      <c r="H304" s="99">
        <f t="shared" si="15"/>
        <v>1</v>
      </c>
      <c r="I304" s="99">
        <f t="shared" si="24"/>
        <v>1140000</v>
      </c>
      <c r="J304" s="99">
        <f t="shared" si="25"/>
        <v>0</v>
      </c>
      <c r="K304" s="99">
        <f t="shared" si="26"/>
        <v>1140000</v>
      </c>
    </row>
    <row r="305" spans="1:13">
      <c r="A305" s="99" t="s">
        <v>4757</v>
      </c>
      <c r="B305" s="18">
        <v>-276773</v>
      </c>
      <c r="C305" s="18">
        <v>0</v>
      </c>
      <c r="D305" s="18">
        <f t="shared" si="18"/>
        <v>-276773</v>
      </c>
      <c r="E305" s="99" t="s">
        <v>4765</v>
      </c>
      <c r="F305" s="99">
        <v>2</v>
      </c>
      <c r="G305" s="36">
        <f t="shared" si="27"/>
        <v>3</v>
      </c>
      <c r="H305" s="99">
        <f t="shared" si="15"/>
        <v>0</v>
      </c>
      <c r="I305" s="99">
        <f t="shared" si="24"/>
        <v>-830319</v>
      </c>
      <c r="J305" s="99">
        <f t="shared" si="25"/>
        <v>0</v>
      </c>
      <c r="K305" s="99">
        <f t="shared" si="26"/>
        <v>-830319</v>
      </c>
    </row>
    <row r="306" spans="1:13">
      <c r="A306" s="99" t="s">
        <v>4766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1</v>
      </c>
      <c r="G306" s="36">
        <f t="shared" si="27"/>
        <v>1</v>
      </c>
      <c r="H306" s="99">
        <f t="shared" si="15"/>
        <v>0</v>
      </c>
      <c r="I306" s="99">
        <f t="shared" si="24"/>
        <v>-114710</v>
      </c>
      <c r="J306" s="99">
        <f t="shared" si="25"/>
        <v>0</v>
      </c>
      <c r="K306" s="99">
        <f t="shared" si="26"/>
        <v>-114710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982822</v>
      </c>
      <c r="C314" s="29">
        <f>SUM(C2:C313)</f>
        <v>0</v>
      </c>
      <c r="D314" s="29">
        <f>SUM(D2:D313)</f>
        <v>982822</v>
      </c>
      <c r="E314" s="11"/>
      <c r="F314" s="11"/>
      <c r="G314" s="11"/>
      <c r="H314" s="11"/>
      <c r="I314" s="29">
        <f>SUM(I2:I313)</f>
        <v>19174643540</v>
      </c>
      <c r="J314" s="29">
        <f>SUM(J2:J313)</f>
        <v>8687685429</v>
      </c>
      <c r="K314" s="29">
        <f>SUM(K2:K313)</f>
        <v>10486958111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18652376.984435797</v>
      </c>
      <c r="J317" s="29">
        <f>J314/G2</f>
        <v>8451055.8647859916</v>
      </c>
      <c r="K317" s="29">
        <f>K314/G2</f>
        <v>10201321.119649805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2179461</v>
      </c>
      <c r="G321" t="s">
        <v>25</v>
      </c>
      <c r="J321">
        <f>J314/I314*1448696</f>
        <v>656378.0496881447</v>
      </c>
      <c r="K321">
        <f>K314/I314*1448696</f>
        <v>792317.9503118553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4592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4582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4582</v>
      </c>
      <c r="B11" s="18">
        <v>-1287000</v>
      </c>
      <c r="C11" s="18">
        <v>0</v>
      </c>
      <c r="D11" s="113">
        <f t="shared" si="0"/>
        <v>-1287000</v>
      </c>
      <c r="E11" s="19" t="s">
        <v>4583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4613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4617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4619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4627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4633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4643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4649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4649</v>
      </c>
      <c r="B29" s="18">
        <v>-77315</v>
      </c>
      <c r="C29" s="18">
        <v>0</v>
      </c>
      <c r="D29" s="113">
        <f t="shared" si="0"/>
        <v>-77315</v>
      </c>
      <c r="E29" s="19" t="s">
        <v>4655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4657</v>
      </c>
      <c r="B30" s="18">
        <v>-66850</v>
      </c>
      <c r="C30" s="18">
        <v>0</v>
      </c>
      <c r="D30" s="113">
        <f t="shared" si="0"/>
        <v>-66850</v>
      </c>
      <c r="E30" s="19" t="s">
        <v>4667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4657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4666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2" t="s">
        <v>1089</v>
      </c>
      <c r="R21" s="222"/>
      <c r="S21" s="222"/>
      <c r="T21" s="222"/>
      <c r="U21" s="96"/>
      <c r="V21" s="96"/>
      <c r="W21" s="96"/>
      <c r="X21" s="96"/>
      <c r="Y21" s="96"/>
      <c r="Z21" s="96"/>
    </row>
    <row r="22" spans="5:35">
      <c r="O22" s="99"/>
      <c r="P22" s="99"/>
      <c r="Q22" s="222"/>
      <c r="R22" s="222"/>
      <c r="S22" s="222"/>
      <c r="T22" s="22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3" t="s">
        <v>1090</v>
      </c>
      <c r="R23" s="224" t="s">
        <v>1091</v>
      </c>
      <c r="S23" s="223" t="s">
        <v>1092</v>
      </c>
      <c r="T23" s="225" t="s">
        <v>1093</v>
      </c>
      <c r="AD23" t="s">
        <v>25</v>
      </c>
    </row>
    <row r="24" spans="5:35">
      <c r="O24" s="99"/>
      <c r="P24" s="99"/>
      <c r="Q24" s="223"/>
      <c r="R24" s="224"/>
      <c r="S24" s="223"/>
      <c r="T24" s="22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4592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4612</v>
      </c>
      <c r="J263" t="s">
        <v>25</v>
      </c>
      <c r="K263" t="s">
        <v>25</v>
      </c>
    </row>
    <row r="264" spans="1:11">
      <c r="A264" s="99" t="s">
        <v>4606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4649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4649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4672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4592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2"/>
  <sheetViews>
    <sheetView tabSelected="1" topLeftCell="E88" zoomScaleNormal="100" workbookViewId="0">
      <selection activeCell="J93" sqref="J9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982822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363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132</v>
      </c>
      <c r="T20" s="169" t="s">
        <v>4310</v>
      </c>
      <c r="U20" s="169">
        <v>192.1</v>
      </c>
      <c r="V20" s="169">
        <f>U20*(1+$N$88+$Q$15*S20/36500)</f>
        <v>213.70361863013699</v>
      </c>
      <c r="W20" s="32">
        <f t="shared" ref="W20:W34" si="6">V20*(1+$W$19/100)</f>
        <v>217.97769100273973</v>
      </c>
      <c r="X20" s="32">
        <f t="shared" ref="X20:X34" si="7">V20*(1+$X$19/100)</f>
        <v>222.25176337534248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182670566.45434517</v>
      </c>
      <c r="M21" s="169" t="s">
        <v>4302</v>
      </c>
      <c r="N21" s="113">
        <f>O21*P21</f>
        <v>12430548.600000001</v>
      </c>
      <c r="O21" s="99">
        <v>73207</v>
      </c>
      <c r="P21" s="188">
        <f>P56</f>
        <v>169.8</v>
      </c>
      <c r="Q21" s="170">
        <v>1450345</v>
      </c>
      <c r="R21" s="169" t="s">
        <v>4306</v>
      </c>
      <c r="S21" s="194">
        <f>S20-35</f>
        <v>97</v>
      </c>
      <c r="T21" s="169" t="s">
        <v>4311</v>
      </c>
      <c r="U21" s="169">
        <v>313.7</v>
      </c>
      <c r="V21" s="169">
        <f>U21*(1+$N$88+$Q$15*S21/36500)</f>
        <v>340.55615780821915</v>
      </c>
      <c r="W21" s="32">
        <f t="shared" si="6"/>
        <v>347.36728096438355</v>
      </c>
      <c r="X21" s="32">
        <f t="shared" si="7"/>
        <v>354.17840412054795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298</v>
      </c>
      <c r="AM21" s="113">
        <f t="shared" ref="AM21:AM139" si="9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0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-2095549</v>
      </c>
      <c r="M22" s="169" t="s">
        <v>4314</v>
      </c>
      <c r="N22" s="113">
        <f>O22*P22</f>
        <v>8260459.2000000002</v>
      </c>
      <c r="O22" s="99">
        <v>28504</v>
      </c>
      <c r="P22" s="188">
        <f>P53</f>
        <v>289.8</v>
      </c>
      <c r="Q22" s="170">
        <v>400069</v>
      </c>
      <c r="R22" s="169" t="s">
        <v>4312</v>
      </c>
      <c r="S22" s="194">
        <f>S21-1</f>
        <v>96</v>
      </c>
      <c r="T22" s="169" t="s">
        <v>4313</v>
      </c>
      <c r="U22" s="169">
        <v>314.8</v>
      </c>
      <c r="V22" s="169">
        <f>U22*(1+$N$88+$Q$15*S22/36500)</f>
        <v>341.50883945205487</v>
      </c>
      <c r="W22" s="32">
        <f t="shared" si="6"/>
        <v>348.33901624109598</v>
      </c>
      <c r="X22" s="32">
        <f t="shared" si="7"/>
        <v>355.16919303013708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297</v>
      </c>
      <c r="AM22" s="113">
        <f t="shared" si="9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0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21"/>
      <c r="L23" s="117"/>
      <c r="M23" s="221" t="s">
        <v>4416</v>
      </c>
      <c r="N23" s="113">
        <f>O23*P23</f>
        <v>348612</v>
      </c>
      <c r="O23" s="99">
        <v>695</v>
      </c>
      <c r="P23" s="188">
        <f>P46</f>
        <v>501.6</v>
      </c>
      <c r="Q23" s="170">
        <v>7118256</v>
      </c>
      <c r="R23" s="169" t="s">
        <v>4312</v>
      </c>
      <c r="S23" s="194">
        <f>S22</f>
        <v>96</v>
      </c>
      <c r="T23" s="169" t="s">
        <v>4542</v>
      </c>
      <c r="U23" s="169">
        <v>313</v>
      </c>
      <c r="V23" s="169">
        <f>U23*(1+$N$88+$Q$15*S23/36500)</f>
        <v>339.55612054794523</v>
      </c>
      <c r="W23" s="32">
        <f t="shared" si="6"/>
        <v>346.34724295890413</v>
      </c>
      <c r="X23" s="32">
        <f t="shared" si="7"/>
        <v>353.13836536986304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296</v>
      </c>
      <c r="AM23" s="113">
        <f t="shared" si="9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0"/>
        <v>280306345.38193864</v>
      </c>
      <c r="F24" s="3">
        <f>L68</f>
        <v>360154657.45434517</v>
      </c>
      <c r="G24" s="95">
        <f t="shared" si="0"/>
        <v>-79848312.07240653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4284982.8000000007</v>
      </c>
      <c r="O24" s="99">
        <v>828</v>
      </c>
      <c r="P24" s="99">
        <f>P45</f>
        <v>5175.1000000000004</v>
      </c>
      <c r="Q24" s="170">
        <v>595156</v>
      </c>
      <c r="R24" s="169" t="s">
        <v>4399</v>
      </c>
      <c r="S24" s="195">
        <f>S23-16</f>
        <v>80</v>
      </c>
      <c r="T24" s="169" t="s">
        <v>4402</v>
      </c>
      <c r="U24" s="169">
        <v>5808.5</v>
      </c>
      <c r="V24" s="169">
        <f>U24*(1+$N$88+$Q$15*S24/36500)</f>
        <v>6230.02204931507</v>
      </c>
      <c r="W24" s="32">
        <f t="shared" si="6"/>
        <v>6354.6224903013717</v>
      </c>
      <c r="X24" s="32">
        <f t="shared" si="7"/>
        <v>6479.2229312876734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295</v>
      </c>
      <c r="AM24" s="113">
        <f t="shared" si="9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0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73</v>
      </c>
      <c r="T25" s="19" t="s">
        <v>4440</v>
      </c>
      <c r="U25" s="169">
        <v>5474</v>
      </c>
      <c r="V25" s="169">
        <f>U25*(1+$N$88+$Q$15*S25/36500)</f>
        <v>5841.8528000000006</v>
      </c>
      <c r="W25" s="32">
        <f t="shared" si="6"/>
        <v>5958.6898560000009</v>
      </c>
      <c r="X25" s="32">
        <f t="shared" si="7"/>
        <v>6075.5269120000012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283</v>
      </c>
      <c r="AM25" s="113">
        <f t="shared" si="9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0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73</v>
      </c>
      <c r="T26" s="19" t="s">
        <v>4441</v>
      </c>
      <c r="U26" s="169">
        <v>5349</v>
      </c>
      <c r="V26" s="169">
        <f>U26*(1+$N$88+$Q$15*S26/36500)</f>
        <v>5708.4528000000009</v>
      </c>
      <c r="W26" s="32">
        <f>V26*(1+$W$19/100)</f>
        <v>5822.6218560000007</v>
      </c>
      <c r="X26" s="32">
        <f t="shared" si="7"/>
        <v>5936.7909120000013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277</v>
      </c>
      <c r="AM26" s="113">
        <f t="shared" si="9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0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243229.7</v>
      </c>
      <c r="O27" s="69">
        <v>47</v>
      </c>
      <c r="P27" s="99">
        <f>P45</f>
        <v>5175.1000000000004</v>
      </c>
      <c r="Q27" s="170">
        <v>1353959</v>
      </c>
      <c r="R27" s="169" t="s">
        <v>4437</v>
      </c>
      <c r="S27" s="202">
        <f>S26</f>
        <v>73</v>
      </c>
      <c r="T27" s="19" t="s">
        <v>4483</v>
      </c>
      <c r="U27" s="169">
        <v>192.2</v>
      </c>
      <c r="V27" s="169">
        <f>U27*(1+$N$88+$Q$15*S27/36500)</f>
        <v>205.11584000000002</v>
      </c>
      <c r="W27" s="32">
        <f t="shared" si="6"/>
        <v>209.21815680000003</v>
      </c>
      <c r="X27" s="32">
        <f t="shared" si="7"/>
        <v>213.32047360000001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276</v>
      </c>
      <c r="AM27" s="113">
        <f t="shared" si="9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0"/>
        <v>306577597.44039667</v>
      </c>
      <c r="F28" s="3"/>
      <c r="G28" s="11"/>
      <c r="H28" s="11"/>
      <c r="K28" s="221"/>
      <c r="L28" s="117"/>
      <c r="M28" s="192" t="s">
        <v>4416</v>
      </c>
      <c r="N28" s="113">
        <f>O28*P28</f>
        <v>350116.8</v>
      </c>
      <c r="O28" s="69">
        <v>698</v>
      </c>
      <c r="P28" s="99">
        <f>P46</f>
        <v>501.6</v>
      </c>
      <c r="Q28" s="170">
        <v>1614398</v>
      </c>
      <c r="R28" s="169" t="s">
        <v>4445</v>
      </c>
      <c r="S28" s="169">
        <f>S27-3</f>
        <v>70</v>
      </c>
      <c r="T28" s="19" t="s">
        <v>4521</v>
      </c>
      <c r="U28" s="169">
        <v>184.6</v>
      </c>
      <c r="V28" s="169">
        <f>U28*(1+$N$88+$Q$15*S28/36500)</f>
        <v>196.58028712328769</v>
      </c>
      <c r="W28" s="32">
        <f t="shared" si="6"/>
        <v>200.51189286575345</v>
      </c>
      <c r="X28" s="32">
        <f t="shared" si="7"/>
        <v>204.44349860821922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275</v>
      </c>
      <c r="AM28" s="113">
        <f t="shared" si="9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0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2943483</v>
      </c>
      <c r="O29" s="69">
        <v>17335</v>
      </c>
      <c r="P29" s="99">
        <f>P56</f>
        <v>169.8</v>
      </c>
      <c r="Q29" s="170">
        <v>133576</v>
      </c>
      <c r="R29" s="169" t="s">
        <v>4528</v>
      </c>
      <c r="S29" s="201">
        <f>S28-22</f>
        <v>48</v>
      </c>
      <c r="T29" s="169" t="s">
        <v>4529</v>
      </c>
      <c r="U29" s="169">
        <v>166.2</v>
      </c>
      <c r="V29" s="169">
        <f>U29*(1+$N$88+$Q$15*S29/36500)</f>
        <v>174.18124273972603</v>
      </c>
      <c r="W29" s="32">
        <f t="shared" si="6"/>
        <v>177.66486759452056</v>
      </c>
      <c r="X29" s="32">
        <f t="shared" si="7"/>
        <v>181.14849244931509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270</v>
      </c>
      <c r="AM29" s="113">
        <f t="shared" si="9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0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47</v>
      </c>
      <c r="T30" s="169" t="s">
        <v>4535</v>
      </c>
      <c r="U30" s="169">
        <v>166</v>
      </c>
      <c r="V30" s="169">
        <f>U30*(1+$N$88+$Q$15*S30/36500)</f>
        <v>173.84429589041099</v>
      </c>
      <c r="W30" s="32">
        <f t="shared" si="6"/>
        <v>177.32118180821922</v>
      </c>
      <c r="X30" s="32">
        <f t="shared" si="7"/>
        <v>180.79806772602743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269</v>
      </c>
      <c r="AM30" s="113">
        <f t="shared" si="9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0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45</v>
      </c>
      <c r="T31" s="169" t="s">
        <v>4543</v>
      </c>
      <c r="U31" s="169">
        <v>160.19999999999999</v>
      </c>
      <c r="V31" s="169">
        <f>U31*(1+$N$88+$Q$15*S31/36500)</f>
        <v>167.52443178082194</v>
      </c>
      <c r="W31" s="32">
        <f t="shared" si="6"/>
        <v>170.87492041643839</v>
      </c>
      <c r="X31" s="32">
        <f t="shared" si="7"/>
        <v>174.22540905205483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9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0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-S127</f>
        <v>-182670566.45434517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17</v>
      </c>
      <c r="T32" s="169" t="s">
        <v>4646</v>
      </c>
      <c r="U32" s="169">
        <v>172.2</v>
      </c>
      <c r="V32" s="169">
        <f>U32*(1+$N$88+$Q$15*S32/36500)</f>
        <v>176.37431671232878</v>
      </c>
      <c r="W32" s="32">
        <f t="shared" si="6"/>
        <v>179.90180304657537</v>
      </c>
      <c r="X32" s="32">
        <f t="shared" si="7"/>
        <v>183.42928938082193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263</v>
      </c>
      <c r="AM32" s="113">
        <f t="shared" si="9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0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 t="s">
        <v>25</v>
      </c>
      <c r="P33" s="96"/>
      <c r="Q33" s="170">
        <v>250962</v>
      </c>
      <c r="R33" s="169" t="s">
        <v>4703</v>
      </c>
      <c r="S33" s="201">
        <f>S32-10</f>
        <v>7</v>
      </c>
      <c r="T33" s="169" t="s">
        <v>4704</v>
      </c>
      <c r="U33" s="169">
        <v>5315.5</v>
      </c>
      <c r="V33" s="169">
        <f>U33*(1+$N$88+$Q$15*S33/36500)</f>
        <v>5403.5771068493159</v>
      </c>
      <c r="W33" s="32">
        <f t="shared" si="6"/>
        <v>5511.6486489863028</v>
      </c>
      <c r="X33" s="32">
        <f t="shared" si="7"/>
        <v>5619.7201911232887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247</v>
      </c>
      <c r="AM33" s="113">
        <f t="shared" si="9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0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350718</v>
      </c>
      <c r="R34" s="221" t="s">
        <v>4768</v>
      </c>
      <c r="S34" s="201">
        <f>S33-7</f>
        <v>0</v>
      </c>
      <c r="T34" s="221" t="s">
        <v>4769</v>
      </c>
      <c r="U34" s="221">
        <v>502.3</v>
      </c>
      <c r="V34" s="221">
        <f>U34*(1+$N$88+$Q$15*S34/36500)</f>
        <v>507.92576000000008</v>
      </c>
      <c r="W34" s="32">
        <f t="shared" si="6"/>
        <v>518.08427520000009</v>
      </c>
      <c r="X34" s="32">
        <f t="shared" si="7"/>
        <v>528.2427904000001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247</v>
      </c>
      <c r="AM34" s="113">
        <f t="shared" si="9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0"/>
        <v>358188786.24271059</v>
      </c>
      <c r="F35" s="3"/>
      <c r="G35" s="11"/>
      <c r="H35" s="11"/>
      <c r="K35" s="169" t="s">
        <v>4759</v>
      </c>
      <c r="L35" s="117">
        <v>-48500000</v>
      </c>
      <c r="M35" s="73"/>
      <c r="N35" s="113"/>
      <c r="O35" s="96" t="s">
        <v>25</v>
      </c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235</v>
      </c>
      <c r="AM35" s="113">
        <f t="shared" si="9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0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-2307774.3999999985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233</v>
      </c>
      <c r="AM36" s="113">
        <f t="shared" si="9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0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4758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233</v>
      </c>
      <c r="AM37" s="113">
        <f t="shared" si="9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4701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232</v>
      </c>
      <c r="AM38" s="113">
        <f t="shared" si="9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0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228</v>
      </c>
      <c r="AM39" s="113">
        <f t="shared" si="9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0"/>
        <v>399949534.64670491</v>
      </c>
      <c r="F40" s="3"/>
      <c r="G40" s="11"/>
      <c r="H40" s="11"/>
      <c r="K40" s="99" t="s">
        <v>4629</v>
      </c>
      <c r="L40" s="117">
        <v>2000000</v>
      </c>
      <c r="M40" s="169" t="s">
        <v>4466</v>
      </c>
      <c r="N40" s="113">
        <v>800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225</v>
      </c>
      <c r="AM40" s="113">
        <f t="shared" si="9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132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221</v>
      </c>
      <c r="AM41" s="113">
        <f t="shared" si="9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1">O42*P42</f>
        <v>36539979</v>
      </c>
      <c r="O42" s="99">
        <v>11470</v>
      </c>
      <c r="P42" s="99">
        <v>3185.7</v>
      </c>
      <c r="Q42" s="170">
        <v>863944</v>
      </c>
      <c r="R42" s="169" t="s">
        <v>4445</v>
      </c>
      <c r="S42" s="169">
        <f>S41-62</f>
        <v>70</v>
      </c>
      <c r="T42" s="193" t="s">
        <v>4522</v>
      </c>
      <c r="U42" s="169">
        <v>184.6</v>
      </c>
      <c r="V42" s="169">
        <f>U42*(1+$N$88+$Q$15*S42/36500)</f>
        <v>196.58028712328769</v>
      </c>
      <c r="W42" s="32">
        <f t="shared" ref="W42:W49" si="12">V42*(1+$W$19/100)</f>
        <v>200.51189286575345</v>
      </c>
      <c r="X42" s="32">
        <f t="shared" ref="X42:X49" si="13">V42*(1+$X$19/100)</f>
        <v>204.44349860821922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220</v>
      </c>
      <c r="AM42" s="113">
        <f t="shared" si="9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21" t="s">
        <v>4605</v>
      </c>
      <c r="N43" s="117">
        <f t="shared" ref="N43:N57" si="14">O43*P43</f>
        <v>691400</v>
      </c>
      <c r="O43" s="69">
        <v>2000</v>
      </c>
      <c r="P43" s="69">
        <v>345.7</v>
      </c>
      <c r="Q43" s="170">
        <v>1692313</v>
      </c>
      <c r="R43" s="169" t="s">
        <v>4525</v>
      </c>
      <c r="S43" s="201">
        <f>S42-21</f>
        <v>49</v>
      </c>
      <c r="T43" s="192" t="s">
        <v>4526</v>
      </c>
      <c r="U43" s="169">
        <v>168.5</v>
      </c>
      <c r="V43" s="169">
        <f>U43*(1+$N$88+$Q$15*S43/36500)</f>
        <v>176.72095342465755</v>
      </c>
      <c r="W43" s="32">
        <f t="shared" si="12"/>
        <v>180.2553724931507</v>
      </c>
      <c r="X43" s="32">
        <f t="shared" si="13"/>
        <v>183.78979156164385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220</v>
      </c>
      <c r="AM43" s="113">
        <f t="shared" si="9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21" t="s">
        <v>4587</v>
      </c>
      <c r="N44" s="117">
        <f t="shared" si="14"/>
        <v>1155900</v>
      </c>
      <c r="O44" s="69">
        <v>1000</v>
      </c>
      <c r="P44" s="69">
        <v>1155.9000000000001</v>
      </c>
      <c r="Q44" s="170">
        <v>101153</v>
      </c>
      <c r="R44" s="169" t="s">
        <v>4528</v>
      </c>
      <c r="S44" s="201">
        <f>S43-1</f>
        <v>48</v>
      </c>
      <c r="T44" s="192" t="s">
        <v>4530</v>
      </c>
      <c r="U44" s="169">
        <v>166.7</v>
      </c>
      <c r="V44" s="169">
        <f>U44*(1+$N$88+$Q$15*S44/36500)</f>
        <v>174.70525369863014</v>
      </c>
      <c r="W44" s="32">
        <f t="shared" si="12"/>
        <v>178.19935877260275</v>
      </c>
      <c r="X44" s="32">
        <f t="shared" si="13"/>
        <v>181.69346384657536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219</v>
      </c>
      <c r="AM44" s="113">
        <f t="shared" si="9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4"/>
        <v>109194610.00000001</v>
      </c>
      <c r="O45" s="69">
        <v>21100</v>
      </c>
      <c r="P45" s="69">
        <v>5175.1000000000004</v>
      </c>
      <c r="Q45" s="170">
        <v>183105</v>
      </c>
      <c r="R45" s="169" t="s">
        <v>4232</v>
      </c>
      <c r="S45" s="201">
        <f>S44-1</f>
        <v>47</v>
      </c>
      <c r="T45" s="192" t="s">
        <v>4534</v>
      </c>
      <c r="U45" s="169">
        <v>166.6</v>
      </c>
      <c r="V45" s="169">
        <f>U45*(1+$N$88+$Q$15*S45/36500)</f>
        <v>174.4726487671233</v>
      </c>
      <c r="W45" s="32">
        <f t="shared" si="12"/>
        <v>177.96210174246576</v>
      </c>
      <c r="X45" s="32">
        <f t="shared" si="13"/>
        <v>181.45155471780825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218</v>
      </c>
      <c r="AM45" s="113">
        <f t="shared" si="9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9" t="s">
        <v>4416</v>
      </c>
      <c r="N46" s="117">
        <f t="shared" si="14"/>
        <v>42713246.399999999</v>
      </c>
      <c r="O46" s="69">
        <v>85154</v>
      </c>
      <c r="P46" s="69">
        <v>501.6</v>
      </c>
      <c r="Q46" s="170">
        <v>168846</v>
      </c>
      <c r="R46" s="169" t="s">
        <v>3692</v>
      </c>
      <c r="S46" s="201">
        <f>S45-30</f>
        <v>17</v>
      </c>
      <c r="T46" s="192" t="s">
        <v>4646</v>
      </c>
      <c r="U46" s="169">
        <v>172.2</v>
      </c>
      <c r="V46" s="169">
        <f>U46*(1+$N$88+$Q$15*S46/36500)</f>
        <v>176.37431671232878</v>
      </c>
      <c r="W46" s="32">
        <f t="shared" si="12"/>
        <v>179.90180304657537</v>
      </c>
      <c r="X46" s="32">
        <f t="shared" si="13"/>
        <v>183.42928938082193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211</v>
      </c>
      <c r="AM46" s="113">
        <f t="shared" si="9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9" t="s">
        <v>4552</v>
      </c>
      <c r="N47" s="117">
        <f t="shared" si="14"/>
        <v>2721013.4</v>
      </c>
      <c r="O47" s="69">
        <v>698</v>
      </c>
      <c r="P47" s="69">
        <v>3898.3</v>
      </c>
      <c r="Q47" s="170">
        <v>250962</v>
      </c>
      <c r="R47" s="169" t="s">
        <v>4703</v>
      </c>
      <c r="S47" s="201">
        <f>S46-10</f>
        <v>7</v>
      </c>
      <c r="T47" s="192" t="s">
        <v>4704</v>
      </c>
      <c r="U47" s="169">
        <v>5315.5</v>
      </c>
      <c r="V47" s="169">
        <f>U47*(1+$N$88+$Q$15*S47/36500)</f>
        <v>5403.5771068493159</v>
      </c>
      <c r="W47" s="32">
        <f t="shared" si="12"/>
        <v>5511.6486489863028</v>
      </c>
      <c r="X47" s="32">
        <f t="shared" si="13"/>
        <v>5619.7201911232887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205</v>
      </c>
      <c r="AM47" s="113">
        <f t="shared" si="9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21" t="s">
        <v>4580</v>
      </c>
      <c r="N48" s="117">
        <f t="shared" si="14"/>
        <v>97889.299999999988</v>
      </c>
      <c r="O48" s="69">
        <v>197</v>
      </c>
      <c r="P48" s="69">
        <v>496.9</v>
      </c>
      <c r="Q48" s="170">
        <v>352231</v>
      </c>
      <c r="R48" s="221" t="s">
        <v>4768</v>
      </c>
      <c r="S48" s="201">
        <f>S47-7</f>
        <v>0</v>
      </c>
      <c r="T48" s="192" t="s">
        <v>4770</v>
      </c>
      <c r="U48" s="221">
        <v>502.3</v>
      </c>
      <c r="V48" s="221">
        <f>U48*(1+$N$88+$Q$15*S48/36500)</f>
        <v>507.92576000000008</v>
      </c>
      <c r="W48" s="32">
        <f t="shared" si="12"/>
        <v>518.08427520000009</v>
      </c>
      <c r="X48" s="32">
        <f t="shared" si="13"/>
        <v>528.2427904000001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204</v>
      </c>
      <c r="AM48" s="113">
        <f t="shared" si="9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0"/>
        <v>486974084.8508752</v>
      </c>
      <c r="F49" s="3"/>
      <c r="G49" s="11"/>
      <c r="H49" s="11"/>
      <c r="K49" s="99" t="s">
        <v>25</v>
      </c>
      <c r="L49" s="117"/>
      <c r="M49" s="21" t="s">
        <v>4551</v>
      </c>
      <c r="N49" s="117">
        <f t="shared" si="14"/>
        <v>13826215</v>
      </c>
      <c r="O49" s="69">
        <v>3065</v>
      </c>
      <c r="P49" s="69">
        <v>4511</v>
      </c>
      <c r="Q49" s="170"/>
      <c r="R49" s="169"/>
      <c r="S49" s="113"/>
      <c r="T49" s="113"/>
      <c r="U49" s="169"/>
      <c r="V49" s="169">
        <f>U49*(1+$N$88+$Q$15*S49/36500)</f>
        <v>0</v>
      </c>
      <c r="W49" s="32">
        <f t="shared" si="12"/>
        <v>0</v>
      </c>
      <c r="X49" s="32">
        <f t="shared" si="13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9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21" t="s">
        <v>4651</v>
      </c>
      <c r="N50" s="117">
        <f t="shared" si="14"/>
        <v>3423200</v>
      </c>
      <c r="O50" s="69">
        <v>4000</v>
      </c>
      <c r="P50" s="69">
        <v>855.8</v>
      </c>
      <c r="Q50" s="113">
        <f>SUM(N27:N29)-SUM(Q41:Q49)</f>
        <v>-75724.5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201</v>
      </c>
      <c r="AM50" s="113">
        <f t="shared" si="9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21" t="s">
        <v>4660</v>
      </c>
      <c r="N51" s="117">
        <f t="shared" si="14"/>
        <v>969513</v>
      </c>
      <c r="O51" s="69">
        <v>2190</v>
      </c>
      <c r="P51" s="69">
        <v>442.7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199</v>
      </c>
      <c r="AM51" s="113">
        <f t="shared" si="9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0"/>
        <v>519779926.12100261</v>
      </c>
      <c r="F52" s="3"/>
      <c r="G52" s="11"/>
      <c r="H52" s="11"/>
      <c r="K52" s="99" t="s">
        <v>25</v>
      </c>
      <c r="L52" s="117"/>
      <c r="M52" s="21" t="s">
        <v>4638</v>
      </c>
      <c r="N52" s="117">
        <f t="shared" si="14"/>
        <v>3488400</v>
      </c>
      <c r="O52" s="69">
        <v>5100</v>
      </c>
      <c r="P52" s="69">
        <v>684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185</v>
      </c>
      <c r="AM52" s="113">
        <f t="shared" si="9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19" t="s">
        <v>4297</v>
      </c>
      <c r="N53" s="113">
        <f t="shared" si="14"/>
        <v>434700</v>
      </c>
      <c r="O53" s="69">
        <v>1500</v>
      </c>
      <c r="P53" s="69">
        <v>289.8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184</v>
      </c>
      <c r="AM53" s="113">
        <f t="shared" si="9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21" t="s">
        <v>4647</v>
      </c>
      <c r="N54" s="117">
        <f t="shared" si="14"/>
        <v>1030400.0000000001</v>
      </c>
      <c r="O54" s="69">
        <v>8000</v>
      </c>
      <c r="P54" s="69">
        <v>128.80000000000001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180</v>
      </c>
      <c r="AM54" s="113">
        <f t="shared" si="9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0"/>
        <v>554684624.00670612</v>
      </c>
      <c r="F55" s="3"/>
      <c r="G55" s="11"/>
      <c r="H55" s="11"/>
      <c r="K55" s="99"/>
      <c r="L55" s="117"/>
      <c r="M55" s="21" t="s">
        <v>4662</v>
      </c>
      <c r="N55" s="117">
        <f t="shared" si="14"/>
        <v>1122550</v>
      </c>
      <c r="O55" s="69">
        <v>5500</v>
      </c>
      <c r="P55" s="69">
        <v>204.1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178</v>
      </c>
      <c r="AM55" s="171">
        <f t="shared" si="9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0"/>
        <v>566808386.86092329</v>
      </c>
      <c r="F56" s="3"/>
      <c r="G56" s="11"/>
      <c r="H56" s="11"/>
      <c r="K56" s="56"/>
      <c r="L56" s="117"/>
      <c r="M56" s="19" t="s">
        <v>4180</v>
      </c>
      <c r="N56" s="113">
        <f t="shared" si="14"/>
        <v>214514283</v>
      </c>
      <c r="O56" s="99">
        <v>1263335</v>
      </c>
      <c r="P56" s="99">
        <v>169.8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176</v>
      </c>
      <c r="AM56" s="113">
        <f t="shared" si="9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0"/>
        <v>579184925.67596567</v>
      </c>
      <c r="F57" s="3"/>
      <c r="G57" s="11"/>
      <c r="H57" s="11"/>
      <c r="K57" s="99"/>
      <c r="L57" s="117"/>
      <c r="M57" s="21" t="s">
        <v>1086</v>
      </c>
      <c r="N57" s="117">
        <f t="shared" si="14"/>
        <v>12690000</v>
      </c>
      <c r="O57" s="69">
        <v>30</v>
      </c>
      <c r="P57" s="69">
        <v>423000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176</v>
      </c>
      <c r="AM57" s="113">
        <f t="shared" si="9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0"/>
        <v>591819398.97808707</v>
      </c>
      <c r="F58" s="3"/>
      <c r="G58" s="11"/>
      <c r="H58" s="11"/>
      <c r="K58" s="99"/>
      <c r="L58" s="117"/>
      <c r="M58" s="73"/>
      <c r="N58" s="117"/>
      <c r="O58" s="122"/>
      <c r="P58" s="122"/>
      <c r="Q58" s="170">
        <v>184971545</v>
      </c>
      <c r="R58" s="169" t="s">
        <v>4173</v>
      </c>
      <c r="S58" s="194">
        <v>132</v>
      </c>
      <c r="T58" s="169" t="s">
        <v>4352</v>
      </c>
      <c r="U58" s="169">
        <v>192</v>
      </c>
      <c r="V58" s="99">
        <f>U58*(1+$N$88+$Q$15*S58/36500)</f>
        <v>213.59237260273974</v>
      </c>
      <c r="W58" s="32">
        <f t="shared" ref="W58:W84" si="15">V58*(1+$W$19/100)</f>
        <v>217.86422005479454</v>
      </c>
      <c r="X58" s="32">
        <f t="shared" ref="X58:X84" si="16">V58*(1+$X$19/100)</f>
        <v>222.13606750684934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175</v>
      </c>
      <c r="AM58" s="113">
        <f t="shared" si="9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0"/>
        <v>604717069.49413705</v>
      </c>
      <c r="F59" s="3"/>
      <c r="G59" s="11"/>
      <c r="H59" s="11"/>
      <c r="K59" s="99"/>
      <c r="L59" s="117"/>
      <c r="M59" s="169" t="s">
        <v>1153</v>
      </c>
      <c r="N59" s="117">
        <v>14908</v>
      </c>
      <c r="O59" s="96" t="s">
        <v>25</v>
      </c>
      <c r="P59" t="s">
        <v>25</v>
      </c>
      <c r="Q59" s="170">
        <v>9560464</v>
      </c>
      <c r="R59" s="169" t="s">
        <v>4300</v>
      </c>
      <c r="S59" s="194">
        <f>S58-31</f>
        <v>101</v>
      </c>
      <c r="T59" s="169" t="s">
        <v>4316</v>
      </c>
      <c r="U59" s="169">
        <v>214.57</v>
      </c>
      <c r="V59" s="99">
        <f>U59*(1+$N$88+$Q$15*S59/36500)</f>
        <v>233.59795002739727</v>
      </c>
      <c r="W59" s="32">
        <f t="shared" si="15"/>
        <v>238.26990902794523</v>
      </c>
      <c r="X59" s="32">
        <f t="shared" si="16"/>
        <v>242.94186802849316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160</v>
      </c>
      <c r="AM59" s="173">
        <f t="shared" si="9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0"/>
        <v>617883306.24587286</v>
      </c>
      <c r="F60" s="3"/>
      <c r="G60" s="11"/>
      <c r="H60" s="11"/>
      <c r="K60" s="99"/>
      <c r="L60" s="99"/>
      <c r="M60" s="169" t="s">
        <v>1154</v>
      </c>
      <c r="N60" s="117">
        <v>5282</v>
      </c>
      <c r="O60" s="96"/>
      <c r="P60" t="s">
        <v>25</v>
      </c>
      <c r="Q60" s="170">
        <v>2000000</v>
      </c>
      <c r="R60" s="169" t="s">
        <v>4347</v>
      </c>
      <c r="S60" s="169">
        <f>S59-11</f>
        <v>90</v>
      </c>
      <c r="T60" s="169" t="s">
        <v>4351</v>
      </c>
      <c r="U60" s="169">
        <v>206.8</v>
      </c>
      <c r="V60" s="99">
        <f>U60*(1+$N$88+$Q$15*S60/36500)</f>
        <v>223.39385863013703</v>
      </c>
      <c r="W60" s="32">
        <f t="shared" si="15"/>
        <v>227.86173580273979</v>
      </c>
      <c r="X60" s="32">
        <f t="shared" si="16"/>
        <v>232.32961297534251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154</v>
      </c>
      <c r="AM60" s="113">
        <f t="shared" si="9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O61" s="115"/>
      <c r="P61" s="115"/>
      <c r="Q61" s="170">
        <v>1429825</v>
      </c>
      <c r="R61" s="169" t="s">
        <v>4378</v>
      </c>
      <c r="S61" s="169">
        <f>S60-7</f>
        <v>83</v>
      </c>
      <c r="T61" s="169" t="s">
        <v>4387</v>
      </c>
      <c r="U61" s="169">
        <v>203.9</v>
      </c>
      <c r="V61" s="99">
        <f>U61*(1+$N$88+$Q$15*S61/36500)</f>
        <v>219.16624438356169</v>
      </c>
      <c r="W61" s="32">
        <f t="shared" si="15"/>
        <v>223.54956927123294</v>
      </c>
      <c r="X61" s="32">
        <f t="shared" si="16"/>
        <v>227.93289415890416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151</v>
      </c>
      <c r="AM61" s="113">
        <f t="shared" si="9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0"/>
        <v>645043498.87861323</v>
      </c>
      <c r="F62" s="3"/>
      <c r="G62" s="11"/>
      <c r="H62" s="11"/>
      <c r="K62" s="169" t="s">
        <v>25</v>
      </c>
      <c r="L62" s="117"/>
      <c r="M62" s="169" t="s">
        <v>4181</v>
      </c>
      <c r="N62" s="113">
        <f>-O62*P62</f>
        <v>-14054855.4</v>
      </c>
      <c r="O62" s="99">
        <v>82773</v>
      </c>
      <c r="P62" s="99">
        <f>P56</f>
        <v>169.8</v>
      </c>
      <c r="Q62" s="170">
        <v>1420747</v>
      </c>
      <c r="R62" s="169" t="s">
        <v>4378</v>
      </c>
      <c r="S62" s="169">
        <f>S61</f>
        <v>83</v>
      </c>
      <c r="T62" s="169" t="s">
        <v>4389</v>
      </c>
      <c r="U62" s="169">
        <v>203.1</v>
      </c>
      <c r="V62" s="99">
        <f>U62*(1+$N$88+$Q$15*S62/36500)</f>
        <v>218.30634739726031</v>
      </c>
      <c r="W62" s="32">
        <f t="shared" si="15"/>
        <v>222.67247434520553</v>
      </c>
      <c r="X62" s="32">
        <f t="shared" si="16"/>
        <v>227.03860129315072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9"/>
        <v>30000000</v>
      </c>
      <c r="AN62" s="20"/>
    </row>
    <row r="63" spans="1:40">
      <c r="E63" s="26"/>
      <c r="K63" s="169"/>
      <c r="L63" s="117"/>
      <c r="M63" s="169"/>
      <c r="N63" s="113"/>
      <c r="Q63" s="170">
        <v>2412371</v>
      </c>
      <c r="R63" s="169" t="s">
        <v>4380</v>
      </c>
      <c r="S63" s="169">
        <f>S62-1</f>
        <v>82</v>
      </c>
      <c r="T63" s="169" t="s">
        <v>4396</v>
      </c>
      <c r="U63" s="169">
        <v>3930</v>
      </c>
      <c r="V63" s="99">
        <f>U63*(1+$N$88+$Q$15*S63/36500)</f>
        <v>4221.2291506849315</v>
      </c>
      <c r="W63" s="32">
        <f t="shared" si="15"/>
        <v>4305.6537336986303</v>
      </c>
      <c r="X63" s="32">
        <f t="shared" si="16"/>
        <v>4390.0783167123291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147</v>
      </c>
      <c r="AM63" s="113">
        <f t="shared" si="9"/>
        <v>147000000</v>
      </c>
      <c r="AN63" s="20"/>
    </row>
    <row r="64" spans="1:40">
      <c r="E64" s="26"/>
      <c r="K64" s="169"/>
      <c r="L64" s="117"/>
      <c r="M64" s="169"/>
      <c r="N64" s="113"/>
      <c r="Q64" s="170">
        <v>2010885</v>
      </c>
      <c r="R64" s="169" t="s">
        <v>4399</v>
      </c>
      <c r="S64" s="169">
        <f>S63-2</f>
        <v>80</v>
      </c>
      <c r="T64" s="169" t="s">
        <v>4405</v>
      </c>
      <c r="U64" s="169">
        <v>202.1</v>
      </c>
      <c r="V64" s="99">
        <f>U64*(1+$N$88+$Q$15*S64/36500)</f>
        <v>216.76636931506852</v>
      </c>
      <c r="W64" s="32">
        <f t="shared" si="15"/>
        <v>221.10169670136989</v>
      </c>
      <c r="X64" s="32">
        <f t="shared" si="16"/>
        <v>225.43702408767126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9"/>
        <v>187200000</v>
      </c>
      <c r="AN64" s="20"/>
    </row>
    <row r="65" spans="1:40">
      <c r="K65" s="169"/>
      <c r="L65" s="117"/>
      <c r="M65" s="169" t="s">
        <v>4453</v>
      </c>
      <c r="N65" s="113">
        <f>-S128</f>
        <v>-13997623.995684018</v>
      </c>
      <c r="Q65" s="170">
        <v>1994038</v>
      </c>
      <c r="R65" s="169" t="s">
        <v>4410</v>
      </c>
      <c r="S65" s="169">
        <f>S64-3</f>
        <v>77</v>
      </c>
      <c r="T65" s="169" t="s">
        <v>4427</v>
      </c>
      <c r="U65" s="169">
        <v>5560.3</v>
      </c>
      <c r="V65" s="99">
        <f>U65*(1+$N$88+$Q$15*S65/36500)</f>
        <v>5951.0139024657537</v>
      </c>
      <c r="W65" s="32">
        <f t="shared" si="15"/>
        <v>6070.0341805150692</v>
      </c>
      <c r="X65" s="32">
        <f t="shared" si="16"/>
        <v>6189.0544585643838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7">AL66+AK65</f>
        <v>144</v>
      </c>
      <c r="AM65" s="113">
        <f t="shared" si="9"/>
        <v>143280000</v>
      </c>
      <c r="AN65" s="20"/>
    </row>
    <row r="66" spans="1:40">
      <c r="K66" s="169"/>
      <c r="L66" s="117"/>
      <c r="M66" s="169"/>
      <c r="N66" s="113"/>
      <c r="P66" t="s">
        <v>25</v>
      </c>
      <c r="Q66" s="170">
        <v>444</v>
      </c>
      <c r="R66" s="169" t="s">
        <v>4410</v>
      </c>
      <c r="S66" s="196">
        <f>S65</f>
        <v>77</v>
      </c>
      <c r="T66" s="169" t="s">
        <v>4635</v>
      </c>
      <c r="U66" s="169">
        <v>441.8</v>
      </c>
      <c r="V66" s="99">
        <f>U66*(1+$N$88+$Q$15*S66/36500)</f>
        <v>472.84462027397262</v>
      </c>
      <c r="W66" s="32">
        <f t="shared" si="15"/>
        <v>482.30151267945206</v>
      </c>
      <c r="X66" s="32">
        <f t="shared" si="16"/>
        <v>491.75840508493155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7"/>
        <v>142</v>
      </c>
      <c r="AM66" s="113">
        <f t="shared" si="9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/>
      <c r="N67" s="113"/>
      <c r="Q67" s="170">
        <v>1971103</v>
      </c>
      <c r="R67" s="169" t="s">
        <v>4422</v>
      </c>
      <c r="S67" s="169">
        <f>S66-1</f>
        <v>76</v>
      </c>
      <c r="T67" s="169" t="s">
        <v>4423</v>
      </c>
      <c r="U67" s="169">
        <v>196.2</v>
      </c>
      <c r="V67" s="99">
        <f>U67*(1+$N$88+$Q$15*S67/36500)</f>
        <v>209.8361687671233</v>
      </c>
      <c r="W67" s="32">
        <f t="shared" si="15"/>
        <v>214.03289214246576</v>
      </c>
      <c r="X67" s="32">
        <f t="shared" si="16"/>
        <v>218.22961551780824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7"/>
        <v>140</v>
      </c>
      <c r="AM67" s="113">
        <f t="shared" si="9"/>
        <v>-434000000</v>
      </c>
      <c r="AN67" s="20"/>
    </row>
    <row r="68" spans="1:40">
      <c r="F68" t="s">
        <v>4104</v>
      </c>
      <c r="G68" t="s">
        <v>4099</v>
      </c>
      <c r="K68" s="169" t="s">
        <v>598</v>
      </c>
      <c r="L68" s="113">
        <f>SUM(L16:L54)</f>
        <v>360154657.45434517</v>
      </c>
      <c r="M68" s="169"/>
      <c r="N68" s="113">
        <f>SUM(N16:N64)</f>
        <v>433105612.3456549</v>
      </c>
      <c r="Q68" s="170">
        <v>1049856</v>
      </c>
      <c r="R68" s="169" t="s">
        <v>4445</v>
      </c>
      <c r="S68" s="202">
        <f>S67-6</f>
        <v>70</v>
      </c>
      <c r="T68" s="169" t="s">
        <v>4484</v>
      </c>
      <c r="U68" s="169">
        <v>184.5</v>
      </c>
      <c r="V68" s="99">
        <f>U68*(1+$N$88+$Q$15*S68/36500)</f>
        <v>196.47379726027401</v>
      </c>
      <c r="W68" s="32">
        <f t="shared" si="15"/>
        <v>200.40327320547951</v>
      </c>
      <c r="X68" s="32">
        <f t="shared" si="16"/>
        <v>204.33274915068498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7"/>
        <v>137</v>
      </c>
      <c r="AM68" s="113">
        <f t="shared" si="9"/>
        <v>6252680000</v>
      </c>
      <c r="AN68" s="20"/>
    </row>
    <row r="69" spans="1:40">
      <c r="F69" t="s">
        <v>4105</v>
      </c>
      <c r="G69" t="s">
        <v>4101</v>
      </c>
      <c r="K69" s="169" t="s">
        <v>599</v>
      </c>
      <c r="L69" s="113">
        <f>L16+L17+L24</f>
        <v>679640</v>
      </c>
      <c r="M69" s="169"/>
      <c r="N69" s="113">
        <f>N16+N17+N33</f>
        <v>1596127</v>
      </c>
      <c r="Q69" s="170">
        <v>1783234</v>
      </c>
      <c r="R69" s="169" t="s">
        <v>4447</v>
      </c>
      <c r="S69" s="169">
        <f>S68-2</f>
        <v>68</v>
      </c>
      <c r="T69" s="169" t="s">
        <v>4448</v>
      </c>
      <c r="U69" s="169">
        <v>177.5</v>
      </c>
      <c r="V69" s="99">
        <f>U69*(1+$N$88+$Q$15*S69/36500)</f>
        <v>188.74717808219179</v>
      </c>
      <c r="W69" s="32">
        <f t="shared" si="15"/>
        <v>192.52212164383565</v>
      </c>
      <c r="X69" s="32">
        <f t="shared" si="16"/>
        <v>196.29706520547947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7"/>
        <v>136</v>
      </c>
      <c r="AM69" s="113">
        <f t="shared" si="9"/>
        <v>4556000000</v>
      </c>
      <c r="AN69" s="20"/>
    </row>
    <row r="70" spans="1:40">
      <c r="G70" t="s">
        <v>4102</v>
      </c>
      <c r="K70" s="56" t="s">
        <v>716</v>
      </c>
      <c r="L70" s="1">
        <f>L68+N7</f>
        <v>430154657.45434517</v>
      </c>
      <c r="M70" s="113"/>
      <c r="N70" s="169"/>
      <c r="O70" s="115"/>
      <c r="P70" s="115"/>
      <c r="Q70" s="170">
        <v>1662335</v>
      </c>
      <c r="R70" s="169" t="s">
        <v>4451</v>
      </c>
      <c r="S70" s="201">
        <f>S69-5</f>
        <v>63</v>
      </c>
      <c r="T70" s="73" t="s">
        <v>4616</v>
      </c>
      <c r="U70" s="169">
        <v>190.3</v>
      </c>
      <c r="V70" s="99">
        <f>U70*(1+$N$88+$Q$15*S70/36500)</f>
        <v>201.62832438356168</v>
      </c>
      <c r="W70" s="32">
        <f t="shared" si="15"/>
        <v>205.66089087123291</v>
      </c>
      <c r="X70" s="32">
        <f t="shared" si="16"/>
        <v>209.69345735890414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7"/>
        <v>135</v>
      </c>
      <c r="AM70" s="117">
        <f t="shared" si="9"/>
        <v>1620000000</v>
      </c>
      <c r="AN70" s="20"/>
    </row>
    <row r="71" spans="1:40">
      <c r="G71" t="s">
        <v>4103</v>
      </c>
      <c r="O71" s="96"/>
      <c r="P71" s="96"/>
      <c r="Q71" s="170">
        <v>159753</v>
      </c>
      <c r="R71" s="169" t="s">
        <v>4578</v>
      </c>
      <c r="S71" s="169">
        <f>S70-25</f>
        <v>38</v>
      </c>
      <c r="T71" s="73" t="s">
        <v>4594</v>
      </c>
      <c r="U71" s="169">
        <v>286</v>
      </c>
      <c r="V71" s="99">
        <f>U71*(1+$N$88+$Q$15*S71/36500)</f>
        <v>297.54029589041102</v>
      </c>
      <c r="W71" s="32">
        <f t="shared" si="15"/>
        <v>303.49110180821924</v>
      </c>
      <c r="X71" s="32">
        <f t="shared" si="16"/>
        <v>309.44190772602747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7"/>
        <v>134</v>
      </c>
      <c r="AM71" s="117">
        <f t="shared" si="9"/>
        <v>2077000000</v>
      </c>
      <c r="AN71" s="20"/>
    </row>
    <row r="72" spans="1:40">
      <c r="G72" t="s">
        <v>4107</v>
      </c>
      <c r="M72" s="25"/>
      <c r="O72" t="s">
        <v>25</v>
      </c>
      <c r="Q72" s="170">
        <v>172133</v>
      </c>
      <c r="R72" s="169" t="s">
        <v>4579</v>
      </c>
      <c r="S72" s="169">
        <f>S71-3</f>
        <v>35</v>
      </c>
      <c r="T72" s="73" t="s">
        <v>4595</v>
      </c>
      <c r="U72" s="169">
        <v>287</v>
      </c>
      <c r="V72" s="99">
        <f>U72*(1+$N$88+$Q$15*S72/36500)</f>
        <v>297.9201534246576</v>
      </c>
      <c r="W72" s="32">
        <f t="shared" si="15"/>
        <v>303.87855649315077</v>
      </c>
      <c r="X72" s="32">
        <f t="shared" si="16"/>
        <v>309.83695956164394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7"/>
        <v>130</v>
      </c>
      <c r="AM72" s="117">
        <f t="shared" si="9"/>
        <v>19500000</v>
      </c>
      <c r="AN72" s="20"/>
    </row>
    <row r="73" spans="1:40">
      <c r="G73" t="s">
        <v>4106</v>
      </c>
      <c r="M73" s="25" t="s">
        <v>4081</v>
      </c>
      <c r="O73" s="115"/>
      <c r="P73" s="115"/>
      <c r="Q73" s="170">
        <v>100530</v>
      </c>
      <c r="R73" s="169" t="s">
        <v>4579</v>
      </c>
      <c r="S73" s="169">
        <f>S72</f>
        <v>35</v>
      </c>
      <c r="T73" s="73" t="s">
        <v>4596</v>
      </c>
      <c r="U73" s="169">
        <v>508</v>
      </c>
      <c r="V73" s="99">
        <f>U73*(1+$N$88+$Q$15*S73/36500)</f>
        <v>527.3290520547946</v>
      </c>
      <c r="W73" s="32">
        <f t="shared" si="15"/>
        <v>537.87563309589052</v>
      </c>
      <c r="X73" s="32">
        <f t="shared" si="16"/>
        <v>548.42221413698644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7"/>
        <v>129</v>
      </c>
      <c r="AM73" s="182">
        <f t="shared" si="9"/>
        <v>3741000000</v>
      </c>
      <c r="AN73" s="181" t="s">
        <v>4187</v>
      </c>
    </row>
    <row r="74" spans="1:40">
      <c r="M74" s="178"/>
      <c r="O74" s="115"/>
      <c r="P74" s="115"/>
      <c r="Q74" s="170">
        <v>499973</v>
      </c>
      <c r="R74" s="169" t="s">
        <v>4606</v>
      </c>
      <c r="S74" s="169">
        <f>S73-9</f>
        <v>26</v>
      </c>
      <c r="T74" s="73" t="s">
        <v>4607</v>
      </c>
      <c r="U74" s="169">
        <v>413</v>
      </c>
      <c r="V74" s="99">
        <f>U74*(1+$N$88+$Q$15*S74/36500)</f>
        <v>425.86296986301369</v>
      </c>
      <c r="W74" s="32">
        <f t="shared" si="15"/>
        <v>434.38022926027395</v>
      </c>
      <c r="X74" s="32">
        <f t="shared" si="16"/>
        <v>442.89748865753427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7"/>
        <v>114</v>
      </c>
      <c r="AM74" s="117">
        <f t="shared" si="9"/>
        <v>-14820000</v>
      </c>
      <c r="AN74" s="20" t="s">
        <v>4213</v>
      </c>
    </row>
    <row r="75" spans="1:40">
      <c r="M75" s="96" t="s">
        <v>4725</v>
      </c>
      <c r="Q75" s="170">
        <v>11869317</v>
      </c>
      <c r="R75" s="169" t="s">
        <v>4617</v>
      </c>
      <c r="S75" s="169">
        <f>S74-2</f>
        <v>24</v>
      </c>
      <c r="T75" s="169" t="s">
        <v>4618</v>
      </c>
      <c r="U75" s="169">
        <v>395600</v>
      </c>
      <c r="V75" s="99">
        <f>U75*(1+$N$88+$Q$15*S75/36500)</f>
        <v>407314.09534246573</v>
      </c>
      <c r="W75" s="32">
        <f t="shared" si="15"/>
        <v>415460.37724931503</v>
      </c>
      <c r="X75" s="32">
        <f t="shared" si="16"/>
        <v>423606.65915616439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7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22" t="s">
        <v>4417</v>
      </c>
      <c r="O76" s="114"/>
      <c r="Q76" s="170">
        <v>2272487</v>
      </c>
      <c r="R76" s="169" t="s">
        <v>4627</v>
      </c>
      <c r="S76" s="169">
        <f>S75-3</f>
        <v>21</v>
      </c>
      <c r="T76" s="169" t="s">
        <v>4628</v>
      </c>
      <c r="U76" s="169">
        <v>174.9</v>
      </c>
      <c r="V76" s="99">
        <f>U76*(1+$N$88+$Q$15*S76/36500)</f>
        <v>179.67644712328769</v>
      </c>
      <c r="W76" s="32">
        <f t="shared" si="15"/>
        <v>183.26997606575344</v>
      </c>
      <c r="X76" s="32">
        <f t="shared" si="16"/>
        <v>186.86350500821919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7"/>
        <v>105</v>
      </c>
      <c r="AM76" s="117">
        <f t="shared" si="9"/>
        <v>-17850000</v>
      </c>
      <c r="AN76" s="20"/>
    </row>
    <row r="77" spans="1:40">
      <c r="D77" s="1" t="s">
        <v>305</v>
      </c>
      <c r="E77" s="1">
        <v>70000</v>
      </c>
      <c r="M77" s="122" t="s">
        <v>4519</v>
      </c>
      <c r="N77" s="96"/>
      <c r="Q77" s="170">
        <v>3975257</v>
      </c>
      <c r="R77" s="169" t="s">
        <v>4633</v>
      </c>
      <c r="S77" s="169">
        <f>S76-1</f>
        <v>20</v>
      </c>
      <c r="T77" s="169" t="s">
        <v>4634</v>
      </c>
      <c r="U77" s="169">
        <v>173</v>
      </c>
      <c r="V77" s="99">
        <f>U77*(1+$N$88+$Q$15*S77/36500)</f>
        <v>177.59184657534249</v>
      </c>
      <c r="W77" s="32">
        <f t="shared" si="15"/>
        <v>181.14368350684933</v>
      </c>
      <c r="X77" s="32">
        <f t="shared" si="16"/>
        <v>184.6955204383562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7"/>
        <v>102</v>
      </c>
      <c r="AM77" s="117">
        <f t="shared" si="9"/>
        <v>-30600000</v>
      </c>
      <c r="AN77" s="20"/>
    </row>
    <row r="78" spans="1:40">
      <c r="D78" s="1" t="s">
        <v>321</v>
      </c>
      <c r="E78" s="1">
        <v>100000</v>
      </c>
      <c r="M78" s="122" t="s">
        <v>4598</v>
      </c>
      <c r="N78" s="96"/>
      <c r="P78" t="s">
        <v>25</v>
      </c>
      <c r="Q78" s="170">
        <v>1031662</v>
      </c>
      <c r="R78" s="169" t="s">
        <v>4235</v>
      </c>
      <c r="S78" s="169">
        <f>S77-1</f>
        <v>19</v>
      </c>
      <c r="T78" s="169" t="s">
        <v>4637</v>
      </c>
      <c r="U78" s="169">
        <v>171.2</v>
      </c>
      <c r="V78" s="99">
        <f>U78*(1+$N$88+$Q$15*S78/36500)</f>
        <v>175.61273863013696</v>
      </c>
      <c r="W78" s="32">
        <f t="shared" si="15"/>
        <v>179.1249934027397</v>
      </c>
      <c r="X78" s="32">
        <f t="shared" si="16"/>
        <v>182.63724817534245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9"/>
        <v>-1128600000</v>
      </c>
      <c r="AN78" s="20"/>
    </row>
    <row r="79" spans="1:40" ht="30">
      <c r="D79" s="1" t="s">
        <v>306</v>
      </c>
      <c r="E79" s="1">
        <v>80000</v>
      </c>
      <c r="K79" s="220" t="s">
        <v>4760</v>
      </c>
      <c r="L79" s="22" t="s">
        <v>4679</v>
      </c>
      <c r="M79" s="213" t="s">
        <v>4726</v>
      </c>
      <c r="N79" s="96"/>
      <c r="P79" s="115"/>
      <c r="Q79" s="170">
        <v>2666019</v>
      </c>
      <c r="R79" s="169" t="s">
        <v>4235</v>
      </c>
      <c r="S79" s="169">
        <f>S78</f>
        <v>19</v>
      </c>
      <c r="T79" s="169" t="s">
        <v>4639</v>
      </c>
      <c r="U79" s="169">
        <v>749</v>
      </c>
      <c r="V79" s="99">
        <f>U79*(1+$N$88+$Q$15*S79/36500)</f>
        <v>768.30573150684927</v>
      </c>
      <c r="W79" s="32">
        <f t="shared" si="15"/>
        <v>783.67184613698623</v>
      </c>
      <c r="X79" s="32">
        <f t="shared" si="16"/>
        <v>799.03796076712331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4518</v>
      </c>
      <c r="N80" s="96"/>
      <c r="P80" s="115" t="s">
        <v>25</v>
      </c>
      <c r="Q80" s="170">
        <v>577500</v>
      </c>
      <c r="R80" s="169" t="s">
        <v>4235</v>
      </c>
      <c r="S80" s="169">
        <f>S79</f>
        <v>19</v>
      </c>
      <c r="T80" s="169" t="s">
        <v>4642</v>
      </c>
      <c r="U80" s="169">
        <v>175</v>
      </c>
      <c r="V80" s="99">
        <f>U80*(1+$N$88+$Q$15*S80/36500)</f>
        <v>179.51068493150686</v>
      </c>
      <c r="W80" s="32">
        <f t="shared" si="15"/>
        <v>183.10089863013701</v>
      </c>
      <c r="X80" s="32">
        <f t="shared" si="16"/>
        <v>186.69111232876713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>
      <c r="D81" s="31" t="s">
        <v>308</v>
      </c>
      <c r="E81" s="1">
        <v>300000</v>
      </c>
      <c r="L81" s="9" t="s">
        <v>4763</v>
      </c>
      <c r="M81" s="122" t="s">
        <v>4600</v>
      </c>
      <c r="O81" t="s">
        <v>25</v>
      </c>
      <c r="P81" s="115"/>
      <c r="Q81" s="170">
        <v>12636487</v>
      </c>
      <c r="R81" s="169" t="s">
        <v>3692</v>
      </c>
      <c r="S81" s="169">
        <f>S80-2</f>
        <v>17</v>
      </c>
      <c r="T81" s="169" t="s">
        <v>4645</v>
      </c>
      <c r="U81" s="169">
        <v>172.1</v>
      </c>
      <c r="V81" s="99">
        <f>U81*(1+$N$88+$Q$15*S81/36500)</f>
        <v>176.27189260273974</v>
      </c>
      <c r="W81" s="32">
        <f t="shared" si="15"/>
        <v>179.79733045479455</v>
      </c>
      <c r="X81" s="32">
        <f t="shared" si="16"/>
        <v>183.32276830684933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7"/>
        <v>80</v>
      </c>
      <c r="AM81" s="117">
        <f t="shared" si="9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4693</v>
      </c>
      <c r="M82" s="96">
        <f>O56+O21+O29-O62</f>
        <v>1271104</v>
      </c>
      <c r="N82" s="113">
        <f>M82*P56</f>
        <v>215833459.20000002</v>
      </c>
      <c r="P82" s="115"/>
      <c r="Q82" s="170">
        <v>1210169</v>
      </c>
      <c r="R82" s="169" t="s">
        <v>4649</v>
      </c>
      <c r="S82" s="169">
        <f>S81-3</f>
        <v>14</v>
      </c>
      <c r="T82" s="169" t="s">
        <v>4650</v>
      </c>
      <c r="U82" s="169">
        <v>1204.7</v>
      </c>
      <c r="V82" s="99">
        <f>U82*(1+$N$88+$Q$15*S82/36500)</f>
        <v>1231.1307879452058</v>
      </c>
      <c r="W82" s="32">
        <f t="shared" si="15"/>
        <v>1255.75340370411</v>
      </c>
      <c r="X82" s="32">
        <f t="shared" si="16"/>
        <v>1280.376019463014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9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4268</v>
      </c>
      <c r="P83" s="115"/>
      <c r="Q83" s="170">
        <v>1997458</v>
      </c>
      <c r="R83" s="169" t="s">
        <v>4649</v>
      </c>
      <c r="S83" s="169">
        <f>S82</f>
        <v>14</v>
      </c>
      <c r="T83" s="169" t="s">
        <v>4652</v>
      </c>
      <c r="U83" s="169">
        <v>862.2</v>
      </c>
      <c r="V83" s="99">
        <f>U83*(1+$N$88+$Q$15*S83/36500)</f>
        <v>881.11643178082215</v>
      </c>
      <c r="W83" s="32">
        <f t="shared" si="15"/>
        <v>898.73876041643859</v>
      </c>
      <c r="X83" s="32">
        <f t="shared" si="16"/>
        <v>916.36108905205504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7"/>
        <v>77</v>
      </c>
      <c r="AM83" s="117">
        <f t="shared" si="9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4604</v>
      </c>
      <c r="N84" t="s">
        <v>25</v>
      </c>
      <c r="P84" s="115"/>
      <c r="Q84" s="170">
        <v>12131182</v>
      </c>
      <c r="R84" s="169" t="s">
        <v>4649</v>
      </c>
      <c r="S84" s="169">
        <f>S83</f>
        <v>14</v>
      </c>
      <c r="T84" s="169" t="s">
        <v>4653</v>
      </c>
      <c r="U84" s="169">
        <v>171.8</v>
      </c>
      <c r="V84" s="99">
        <f>U84*(1+$N$88+$Q$15*S84/36500)</f>
        <v>175.56924493150689</v>
      </c>
      <c r="W84" s="32">
        <f t="shared" si="15"/>
        <v>179.08062983013704</v>
      </c>
      <c r="X84" s="32">
        <f t="shared" si="16"/>
        <v>182.59201472876717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7"/>
        <v>74</v>
      </c>
      <c r="AM84" s="117">
        <f t="shared" si="9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P85" s="115"/>
      <c r="Q85" s="170">
        <v>8978273</v>
      </c>
      <c r="R85" s="169" t="s">
        <v>4657</v>
      </c>
      <c r="S85" s="169">
        <f>S84-1</f>
        <v>13</v>
      </c>
      <c r="T85" s="169" t="s">
        <v>4658</v>
      </c>
      <c r="U85" s="169">
        <v>3405.9</v>
      </c>
      <c r="V85" s="99">
        <f>U85*(1+$N$88+$Q$15*S85/36500)</f>
        <v>3478.0117676712334</v>
      </c>
      <c r="W85" s="32">
        <f t="shared" ref="W85:W115" si="18">V85*(1+$W$19/100)</f>
        <v>3547.572003024658</v>
      </c>
      <c r="X85" s="32">
        <f t="shared" ref="X85:X115" si="19">V85*(1+$X$19/100)</f>
        <v>3617.132238378083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7"/>
        <v>70</v>
      </c>
      <c r="AM85" s="117">
        <f t="shared" si="9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949</v>
      </c>
      <c r="N86">
        <v>6.3E-3</v>
      </c>
      <c r="P86" s="115"/>
      <c r="Q86" s="170">
        <v>1001073</v>
      </c>
      <c r="R86" s="169" t="s">
        <v>4657</v>
      </c>
      <c r="S86" s="169">
        <f>S85</f>
        <v>13</v>
      </c>
      <c r="T86" s="169" t="s">
        <v>4659</v>
      </c>
      <c r="U86" s="169">
        <v>455</v>
      </c>
      <c r="V86" s="99">
        <f>U86*(1+$N$88+$Q$15*S86/36500)</f>
        <v>464.63353424657538</v>
      </c>
      <c r="W86" s="32">
        <f t="shared" si="18"/>
        <v>473.9262049315069</v>
      </c>
      <c r="X86" s="32">
        <f t="shared" si="19"/>
        <v>483.21887561643842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7"/>
        <v>65</v>
      </c>
      <c r="AM86" s="117">
        <f t="shared" si="9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61</v>
      </c>
      <c r="N87">
        <v>4.8999999999999998E-3</v>
      </c>
      <c r="P87" s="115"/>
      <c r="Q87" s="170">
        <v>982939</v>
      </c>
      <c r="R87" s="169" t="s">
        <v>4657</v>
      </c>
      <c r="S87" s="169">
        <f>S86</f>
        <v>13</v>
      </c>
      <c r="T87" s="169" t="s">
        <v>4663</v>
      </c>
      <c r="U87" s="169">
        <v>122.3</v>
      </c>
      <c r="V87" s="99">
        <f>U87*(1+$N$88+$Q$15*S87/36500)</f>
        <v>124.88940931506851</v>
      </c>
      <c r="W87" s="32">
        <f t="shared" si="18"/>
        <v>127.38719750136988</v>
      </c>
      <c r="X87" s="32">
        <f t="shared" si="19"/>
        <v>129.88498568767125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7"/>
        <v>63</v>
      </c>
      <c r="AM87" s="117">
        <f t="shared" si="9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</v>
      </c>
      <c r="N88">
        <f>N86+N87</f>
        <v>1.12E-2</v>
      </c>
      <c r="O88" t="s">
        <v>25</v>
      </c>
      <c r="P88" t="s">
        <v>25</v>
      </c>
      <c r="Q88" s="170">
        <v>1013762</v>
      </c>
      <c r="R88" s="169" t="s">
        <v>4657</v>
      </c>
      <c r="S88" s="169">
        <f>S87</f>
        <v>13</v>
      </c>
      <c r="T88" s="169" t="s">
        <v>4664</v>
      </c>
      <c r="U88" s="169">
        <v>217.1</v>
      </c>
      <c r="V88" s="99">
        <f>U88*(1+$N$88+$Q$15*S88/36500)</f>
        <v>221.69657205479453</v>
      </c>
      <c r="W88" s="32">
        <f t="shared" si="18"/>
        <v>226.13050349589042</v>
      </c>
      <c r="X88" s="32">
        <f t="shared" si="19"/>
        <v>230.56443493698632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9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70">
        <v>13858128</v>
      </c>
      <c r="R89" s="169" t="s">
        <v>4657</v>
      </c>
      <c r="S89" s="169">
        <f>S88</f>
        <v>13</v>
      </c>
      <c r="T89" s="169" t="s">
        <v>4665</v>
      </c>
      <c r="U89" s="169">
        <v>4500.5</v>
      </c>
      <c r="V89" s="99">
        <f>U89*(1+$N$88+$Q$15*S89/36500)</f>
        <v>4595.7872986301372</v>
      </c>
      <c r="W89" s="32">
        <f t="shared" si="18"/>
        <v>4687.7030446027402</v>
      </c>
      <c r="X89" s="32">
        <f t="shared" si="19"/>
        <v>4779.6187905753432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7"/>
        <v>60</v>
      </c>
      <c r="AM89" s="117">
        <f t="shared" si="9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70">
        <v>4068640</v>
      </c>
      <c r="R90" s="169" t="s">
        <v>4669</v>
      </c>
      <c r="S90" s="169">
        <f>S89-1</f>
        <v>12</v>
      </c>
      <c r="T90" s="169" t="s">
        <v>4670</v>
      </c>
      <c r="U90" s="169">
        <v>3322.3</v>
      </c>
      <c r="V90" s="99">
        <f>U90*(1+$N$88+$Q$15*S90/36500)</f>
        <v>3390.0931243835626</v>
      </c>
      <c r="W90" s="32">
        <f t="shared" si="18"/>
        <v>3457.8949868712339</v>
      </c>
      <c r="X90" s="32">
        <f t="shared" si="19"/>
        <v>3525.6968493589052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7"/>
        <v>59</v>
      </c>
      <c r="AM90" s="117">
        <f t="shared" si="9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12656982</v>
      </c>
      <c r="R91" s="169" t="s">
        <v>4669</v>
      </c>
      <c r="S91" s="169">
        <f>S90</f>
        <v>12</v>
      </c>
      <c r="T91" s="169" t="s">
        <v>4671</v>
      </c>
      <c r="U91" s="169">
        <v>5249.9</v>
      </c>
      <c r="V91" s="99">
        <f>U91*(1+$N$88+$Q$15*S91/36500)</f>
        <v>5357.0267265753428</v>
      </c>
      <c r="W91" s="32">
        <f t="shared" si="18"/>
        <v>5464.1672611068498</v>
      </c>
      <c r="X91" s="32">
        <f t="shared" si="19"/>
        <v>5571.3077956383568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7"/>
        <v>58</v>
      </c>
      <c r="AM91" s="117">
        <f t="shared" si="9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s="197" t="s">
        <v>4549</v>
      </c>
      <c r="Q92" s="170">
        <v>100905</v>
      </c>
      <c r="R92" s="169" t="s">
        <v>4672</v>
      </c>
      <c r="S92" s="169">
        <f>S91-1</f>
        <v>11</v>
      </c>
      <c r="T92" s="169" t="s">
        <v>4678</v>
      </c>
      <c r="U92" s="169">
        <v>372</v>
      </c>
      <c r="V92" s="99">
        <f>U92*(1+$N$88+$Q$15*S92/36500)</f>
        <v>379.30546849315067</v>
      </c>
      <c r="W92" s="32">
        <f t="shared" si="18"/>
        <v>386.89157786301371</v>
      </c>
      <c r="X92" s="32">
        <f t="shared" si="19"/>
        <v>394.47768723287669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7"/>
        <v>57</v>
      </c>
      <c r="AM92" s="117">
        <f t="shared" si="9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4550</v>
      </c>
      <c r="Q93" s="170">
        <v>48637534</v>
      </c>
      <c r="R93" s="169" t="s">
        <v>4672</v>
      </c>
      <c r="S93" s="169">
        <f>S92</f>
        <v>11</v>
      </c>
      <c r="T93" s="169" t="s">
        <v>4676</v>
      </c>
      <c r="U93" s="169">
        <v>5330</v>
      </c>
      <c r="V93" s="99">
        <f>U93*(1+$N$88+$Q$15*S93/36500)</f>
        <v>5434.6724383561641</v>
      </c>
      <c r="W93" s="32">
        <f t="shared" si="18"/>
        <v>5543.3658871232874</v>
      </c>
      <c r="X93" s="32">
        <f t="shared" si="19"/>
        <v>5652.0593358904107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9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4551</v>
      </c>
      <c r="Q94" s="170">
        <v>40048573</v>
      </c>
      <c r="R94" s="169" t="s">
        <v>4672</v>
      </c>
      <c r="S94" s="169">
        <f>S93</f>
        <v>11</v>
      </c>
      <c r="T94" s="169" t="s">
        <v>4677</v>
      </c>
      <c r="U94" s="169">
        <v>498.9</v>
      </c>
      <c r="V94" s="99">
        <f>U94*(1+$N$88+$Q$15*S94/36500)</f>
        <v>508.69757589041097</v>
      </c>
      <c r="W94" s="32">
        <f t="shared" si="18"/>
        <v>518.87152740821921</v>
      </c>
      <c r="X94" s="32">
        <f t="shared" si="19"/>
        <v>529.04547892602739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9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4397</v>
      </c>
      <c r="Q95" s="170">
        <v>1000495</v>
      </c>
      <c r="R95" s="169" t="s">
        <v>4689</v>
      </c>
      <c r="S95" s="169">
        <f>S94-1</f>
        <v>10</v>
      </c>
      <c r="T95" s="169" t="s">
        <v>4691</v>
      </c>
      <c r="U95" s="169">
        <v>724.8</v>
      </c>
      <c r="V95" s="99">
        <f>U95*(1+$N$88+$Q$15*S95/36500)</f>
        <v>738.47786958904112</v>
      </c>
      <c r="W95" s="32">
        <f t="shared" si="18"/>
        <v>753.24742698082196</v>
      </c>
      <c r="X95" s="32">
        <f t="shared" si="19"/>
        <v>768.01698437260279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0">AL96+AK95</f>
        <v>51</v>
      </c>
      <c r="AM95" s="117">
        <f t="shared" si="9"/>
        <v>115719000</v>
      </c>
      <c r="AN95" s="99"/>
    </row>
    <row r="96" spans="4:52">
      <c r="D96" s="32" t="s">
        <v>314</v>
      </c>
      <c r="E96" s="1">
        <v>140000</v>
      </c>
      <c r="M96" t="s">
        <v>4416</v>
      </c>
      <c r="Q96" s="170">
        <v>37856769</v>
      </c>
      <c r="R96" s="169" t="s">
        <v>4689</v>
      </c>
      <c r="S96" s="169">
        <f>S95</f>
        <v>10</v>
      </c>
      <c r="T96" s="169" t="s">
        <v>4692</v>
      </c>
      <c r="U96" s="169">
        <v>5393.6</v>
      </c>
      <c r="V96" s="99">
        <f>U96*(1+$N$88+$Q$15*S96/36500)</f>
        <v>5495.3838816438365</v>
      </c>
      <c r="W96" s="32">
        <f t="shared" si="18"/>
        <v>5605.2915592767131</v>
      </c>
      <c r="X96" s="32">
        <f t="shared" si="19"/>
        <v>5715.1992369095906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0"/>
        <v>50</v>
      </c>
      <c r="AM96" s="117">
        <f t="shared" si="9"/>
        <v>37500000</v>
      </c>
      <c r="AN96" s="99"/>
    </row>
    <row r="97" spans="4:47">
      <c r="D97" s="2" t="s">
        <v>478</v>
      </c>
      <c r="E97" s="3">
        <v>1083333</v>
      </c>
      <c r="M97" t="s">
        <v>4552</v>
      </c>
      <c r="Q97" s="170">
        <v>155151</v>
      </c>
      <c r="R97" s="169" t="s">
        <v>4703</v>
      </c>
      <c r="S97" s="169">
        <f>S96-3</f>
        <v>7</v>
      </c>
      <c r="T97" s="169" t="s">
        <v>4705</v>
      </c>
      <c r="U97" s="169">
        <v>5325.9</v>
      </c>
      <c r="V97" s="99">
        <f>U97*(1+$N$88+$Q$15*S97/36500)</f>
        <v>5414.1494334246581</v>
      </c>
      <c r="W97" s="32">
        <f t="shared" si="18"/>
        <v>5522.4324220931512</v>
      </c>
      <c r="X97" s="32">
        <f t="shared" si="19"/>
        <v>5630.7154107616443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0"/>
        <v>46</v>
      </c>
      <c r="AM97" s="117">
        <f t="shared" si="9"/>
        <v>87400000</v>
      </c>
      <c r="AN97" s="99"/>
    </row>
    <row r="98" spans="4:47">
      <c r="D98" s="2"/>
      <c r="E98" s="3"/>
      <c r="H98" s="96"/>
      <c r="M98" t="s">
        <v>4401</v>
      </c>
      <c r="Q98" s="170">
        <v>109726</v>
      </c>
      <c r="R98" s="169" t="s">
        <v>4703</v>
      </c>
      <c r="S98" s="169">
        <f>S97</f>
        <v>7</v>
      </c>
      <c r="T98" s="169" t="s">
        <v>4706</v>
      </c>
      <c r="U98" s="169">
        <v>3900.7</v>
      </c>
      <c r="V98" s="99">
        <f>U98*(1+$N$88+$Q$15*S98/36500)</f>
        <v>3965.3340646575348</v>
      </c>
      <c r="W98" s="32">
        <f t="shared" si="18"/>
        <v>4044.6407459506854</v>
      </c>
      <c r="X98" s="32">
        <f t="shared" si="19"/>
        <v>4123.9474272438365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0"/>
        <v>43</v>
      </c>
      <c r="AM98" s="117">
        <f t="shared" si="9"/>
        <v>275200000</v>
      </c>
      <c r="AN98" s="99"/>
    </row>
    <row r="99" spans="4:47">
      <c r="D99" s="2"/>
      <c r="E99" s="3"/>
      <c r="M99" t="s">
        <v>4553</v>
      </c>
      <c r="Q99" s="170">
        <v>8938737</v>
      </c>
      <c r="R99" s="169" t="s">
        <v>4709</v>
      </c>
      <c r="S99" s="169">
        <f>S98-1</f>
        <v>6</v>
      </c>
      <c r="T99" s="169" t="s">
        <v>4711</v>
      </c>
      <c r="U99" s="169">
        <v>5179.5</v>
      </c>
      <c r="V99" s="99">
        <f>U99*(1+$N$88+$Q$15*S99/36500)</f>
        <v>5261.3502904109591</v>
      </c>
      <c r="W99" s="32">
        <f t="shared" si="18"/>
        <v>5366.5772962191786</v>
      </c>
      <c r="X99" s="32">
        <f t="shared" si="19"/>
        <v>5471.8043020273981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0"/>
        <v>42</v>
      </c>
      <c r="AM99" s="117">
        <f t="shared" si="9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4554</v>
      </c>
      <c r="P100" s="115"/>
      <c r="Q100" s="170">
        <v>2595417</v>
      </c>
      <c r="R100" s="169" t="s">
        <v>4719</v>
      </c>
      <c r="S100" s="169">
        <f>S99-1</f>
        <v>5</v>
      </c>
      <c r="T100" s="169" t="s">
        <v>4720</v>
      </c>
      <c r="U100" s="169">
        <v>4803</v>
      </c>
      <c r="V100" s="99">
        <f>U100*(1+$N$88+$Q$15*S100/36500)</f>
        <v>4875.216065753425</v>
      </c>
      <c r="W100" s="32">
        <f t="shared" si="18"/>
        <v>4972.7203870684934</v>
      </c>
      <c r="X100" s="32">
        <f t="shared" si="19"/>
        <v>5070.2247083835618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0"/>
        <v>37</v>
      </c>
      <c r="AM100" s="117">
        <f t="shared" si="9"/>
        <v>-64755476</v>
      </c>
      <c r="AN100" s="99"/>
    </row>
    <row r="101" spans="4:47">
      <c r="D101" s="2" t="s">
        <v>328</v>
      </c>
      <c r="E101" s="3">
        <f>E100/30</f>
        <v>112777.76666666666</v>
      </c>
      <c r="K101" s="96"/>
      <c r="L101" s="96"/>
      <c r="M101" s="96"/>
      <c r="N101" s="96"/>
      <c r="P101" s="128"/>
      <c r="Q101" s="170">
        <v>2505816</v>
      </c>
      <c r="R101" s="169" t="s">
        <v>4719</v>
      </c>
      <c r="S101" s="169">
        <f>S100</f>
        <v>5</v>
      </c>
      <c r="T101" s="169" t="s">
        <v>4721</v>
      </c>
      <c r="U101" s="169">
        <v>3723</v>
      </c>
      <c r="V101" s="99">
        <f>U101*(1+$N$88+$Q$15*S101/36500)</f>
        <v>3778.9776000000002</v>
      </c>
      <c r="W101" s="32">
        <f t="shared" si="18"/>
        <v>3854.5571520000003</v>
      </c>
      <c r="X101" s="32">
        <f t="shared" si="19"/>
        <v>3930.1367040000005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0"/>
        <v>36</v>
      </c>
      <c r="AM101" s="117">
        <f t="shared" si="9"/>
        <v>14400000</v>
      </c>
      <c r="AN101" s="99"/>
    </row>
    <row r="102" spans="4:47">
      <c r="K102" s="96"/>
      <c r="L102" s="96"/>
      <c r="M102" s="96"/>
      <c r="N102" s="96"/>
      <c r="P102" s="128"/>
      <c r="Q102" s="170">
        <v>183283</v>
      </c>
      <c r="R102" s="217" t="s">
        <v>4723</v>
      </c>
      <c r="S102" s="217">
        <f>S101-1</f>
        <v>4</v>
      </c>
      <c r="T102" s="217" t="s">
        <v>4741</v>
      </c>
      <c r="U102" s="217">
        <v>347.5</v>
      </c>
      <c r="V102" s="99">
        <f>U102*(1+$N$88+$Q$15*S102/36500)</f>
        <v>352.45830136986308</v>
      </c>
      <c r="W102" s="32">
        <f t="shared" si="18"/>
        <v>359.50746739726037</v>
      </c>
      <c r="X102" s="32">
        <f t="shared" si="19"/>
        <v>366.5566334246576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0"/>
        <v>36</v>
      </c>
      <c r="AM102" s="117">
        <f t="shared" si="9"/>
        <v>-75795156</v>
      </c>
      <c r="AN102" s="99"/>
      <c r="AO102" t="s">
        <v>25</v>
      </c>
    </row>
    <row r="103" spans="4:47">
      <c r="P103" s="115"/>
      <c r="Q103" s="170">
        <v>177438</v>
      </c>
      <c r="R103" s="217" t="s">
        <v>4723</v>
      </c>
      <c r="S103" s="217">
        <f t="shared" ref="S103:S109" si="21">S102</f>
        <v>4</v>
      </c>
      <c r="T103" s="217" t="s">
        <v>4734</v>
      </c>
      <c r="U103" s="217">
        <v>207.3</v>
      </c>
      <c r="V103" s="99">
        <f>U103*(1+$N$88+$Q$15*S103/36500)</f>
        <v>210.25785863013704</v>
      </c>
      <c r="W103" s="32">
        <f t="shared" si="18"/>
        <v>214.46301580273979</v>
      </c>
      <c r="X103" s="32">
        <f t="shared" si="19"/>
        <v>218.66817297534251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0"/>
        <v>35</v>
      </c>
      <c r="AM103" s="117">
        <f t="shared" si="9"/>
        <v>-193466630</v>
      </c>
      <c r="AN103" s="99"/>
    </row>
    <row r="104" spans="4:47">
      <c r="Q104" s="170">
        <v>559461</v>
      </c>
      <c r="R104" s="217" t="s">
        <v>4723</v>
      </c>
      <c r="S104" s="217">
        <f t="shared" si="21"/>
        <v>4</v>
      </c>
      <c r="T104" s="217" t="s">
        <v>4735</v>
      </c>
      <c r="U104" s="217">
        <v>508.1</v>
      </c>
      <c r="V104" s="99">
        <f>U104*(1+$N$88+$Q$15*S104/36500)</f>
        <v>515.34982136986309</v>
      </c>
      <c r="W104" s="32">
        <f t="shared" si="18"/>
        <v>525.65681779726037</v>
      </c>
      <c r="X104" s="32">
        <f t="shared" si="19"/>
        <v>535.96381422465765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0"/>
        <v>35</v>
      </c>
      <c r="AM104" s="117">
        <f t="shared" si="9"/>
        <v>136500000</v>
      </c>
      <c r="AN104" s="99"/>
    </row>
    <row r="105" spans="4:47">
      <c r="F105" s="99" t="s">
        <v>4774</v>
      </c>
      <c r="G105" s="99" t="s">
        <v>941</v>
      </c>
      <c r="H105" s="99" t="s">
        <v>4746</v>
      </c>
      <c r="I105" s="99" t="s">
        <v>4745</v>
      </c>
      <c r="J105" s="32" t="s">
        <v>4555</v>
      </c>
      <c r="K105" s="169" t="s">
        <v>4727</v>
      </c>
      <c r="L105" s="32" t="s">
        <v>4729</v>
      </c>
      <c r="M105" s="32" t="s">
        <v>4694</v>
      </c>
      <c r="N105" s="169" t="s">
        <v>4695</v>
      </c>
      <c r="Q105" s="170">
        <v>169080</v>
      </c>
      <c r="R105" s="217" t="s">
        <v>4723</v>
      </c>
      <c r="S105" s="217">
        <f t="shared" si="21"/>
        <v>4</v>
      </c>
      <c r="T105" s="217" t="s">
        <v>4736</v>
      </c>
      <c r="U105" s="217">
        <v>168.3</v>
      </c>
      <c r="V105" s="99">
        <f>U105*(1+$N$88+$Q$15*S105/36500)</f>
        <v>170.70138739726031</v>
      </c>
      <c r="W105" s="32">
        <f t="shared" si="18"/>
        <v>174.1154151452055</v>
      </c>
      <c r="X105" s="32">
        <f t="shared" si="19"/>
        <v>177.52944289315073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0"/>
        <v>32</v>
      </c>
      <c r="AM105" s="117">
        <f t="shared" si="9"/>
        <v>-127032128</v>
      </c>
      <c r="AN105" s="99"/>
    </row>
    <row r="106" spans="4:47">
      <c r="F106" s="185">
        <f>$L$114/G106</f>
        <v>24893.992932862187</v>
      </c>
      <c r="G106" s="185">
        <f>P56</f>
        <v>169.8</v>
      </c>
      <c r="H106" s="185" t="s">
        <v>4750</v>
      </c>
      <c r="I106" s="185" t="s">
        <v>4749</v>
      </c>
      <c r="J106" s="226" t="s">
        <v>4244</v>
      </c>
      <c r="K106" s="203">
        <v>60</v>
      </c>
      <c r="L106" s="227">
        <f>K106*$L$114</f>
        <v>253620000</v>
      </c>
      <c r="M106" s="227">
        <f>N21+N29+N56</f>
        <v>229888314.59999999</v>
      </c>
      <c r="N106" s="186">
        <f t="shared" ref="N106:N112" si="22">L106-M106</f>
        <v>23731685.400000006</v>
      </c>
      <c r="Q106" s="170">
        <v>1403013</v>
      </c>
      <c r="R106" s="217" t="s">
        <v>4723</v>
      </c>
      <c r="S106" s="217">
        <f t="shared" si="21"/>
        <v>4</v>
      </c>
      <c r="T106" s="217" t="s">
        <v>4737</v>
      </c>
      <c r="U106" s="217">
        <v>824.4</v>
      </c>
      <c r="V106" s="99">
        <f>U106*(1+$N$88+$Q$15*S106/36500)</f>
        <v>836.16294575342476</v>
      </c>
      <c r="W106" s="32">
        <f t="shared" si="18"/>
        <v>852.88620466849329</v>
      </c>
      <c r="X106" s="32">
        <f t="shared" si="19"/>
        <v>869.60946358356182</v>
      </c>
      <c r="AH106" s="99">
        <v>86</v>
      </c>
      <c r="AI106" s="113" t="s">
        <v>4592</v>
      </c>
      <c r="AJ106" s="113">
        <v>-25574455</v>
      </c>
      <c r="AK106" s="99">
        <v>0</v>
      </c>
      <c r="AL106" s="99">
        <f t="shared" si="20"/>
        <v>31</v>
      </c>
      <c r="AM106" s="117">
        <f t="shared" si="9"/>
        <v>-792808105</v>
      </c>
      <c r="AN106" s="99"/>
      <c r="AP106" t="s">
        <v>25</v>
      </c>
    </row>
    <row r="107" spans="4:47">
      <c r="F107" s="99">
        <f t="shared" ref="F107:F111" si="23">$L$114/G107</f>
        <v>816.79581070897177</v>
      </c>
      <c r="G107" s="99">
        <f>P45</f>
        <v>5175.1000000000004</v>
      </c>
      <c r="H107" s="99" t="s">
        <v>4752</v>
      </c>
      <c r="I107" s="99" t="s">
        <v>4751</v>
      </c>
      <c r="J107" s="32" t="s">
        <v>4401</v>
      </c>
      <c r="K107" s="169">
        <v>30</v>
      </c>
      <c r="L107" s="1">
        <f>K107*$L$114</f>
        <v>126810000</v>
      </c>
      <c r="M107" s="1">
        <f>N24+N45+N27</f>
        <v>113722822.50000001</v>
      </c>
      <c r="N107" s="113">
        <f t="shared" si="22"/>
        <v>13087177.499999985</v>
      </c>
      <c r="Q107" s="170">
        <v>9376000</v>
      </c>
      <c r="R107" s="217" t="s">
        <v>4723</v>
      </c>
      <c r="S107" s="217">
        <f t="shared" si="21"/>
        <v>4</v>
      </c>
      <c r="T107" s="217" t="s">
        <v>4738</v>
      </c>
      <c r="U107" s="217">
        <v>3184.1</v>
      </c>
      <c r="V107" s="99">
        <f>U107*(1+$N$88+$Q$15*S107/36500)</f>
        <v>3229.5323090410966</v>
      </c>
      <c r="W107" s="32">
        <f t="shared" si="18"/>
        <v>3294.1229552219188</v>
      </c>
      <c r="X107" s="32">
        <f t="shared" si="19"/>
        <v>3358.7136014027406</v>
      </c>
      <c r="AH107" s="99">
        <v>87</v>
      </c>
      <c r="AI107" s="113" t="s">
        <v>4592</v>
      </c>
      <c r="AJ107" s="113">
        <v>4000000</v>
      </c>
      <c r="AK107" s="99">
        <v>1</v>
      </c>
      <c r="AL107" s="99">
        <f t="shared" si="20"/>
        <v>31</v>
      </c>
      <c r="AM107" s="117">
        <f t="shared" si="9"/>
        <v>124000000</v>
      </c>
      <c r="AN107" s="99"/>
    </row>
    <row r="108" spans="4:47">
      <c r="F108" s="185">
        <f t="shared" si="23"/>
        <v>1326.8669366230342</v>
      </c>
      <c r="G108" s="185">
        <f>P42</f>
        <v>3185.7</v>
      </c>
      <c r="H108" s="185" t="s">
        <v>3882</v>
      </c>
      <c r="I108" s="185" t="s">
        <v>4753</v>
      </c>
      <c r="J108" s="226" t="s">
        <v>4397</v>
      </c>
      <c r="K108" s="203">
        <v>30</v>
      </c>
      <c r="L108" s="227">
        <f>K108*$L$114</f>
        <v>126810000</v>
      </c>
      <c r="M108" s="227">
        <f>N42</f>
        <v>36539979</v>
      </c>
      <c r="N108" s="186">
        <f t="shared" si="22"/>
        <v>90270021</v>
      </c>
      <c r="Q108" s="170">
        <v>128675</v>
      </c>
      <c r="R108" s="217" t="s">
        <v>4723</v>
      </c>
      <c r="S108" s="217">
        <f t="shared" si="21"/>
        <v>4</v>
      </c>
      <c r="T108" s="217" t="s">
        <v>4739</v>
      </c>
      <c r="U108" s="217">
        <v>699.9</v>
      </c>
      <c r="V108" s="99">
        <f>U108*(1+$N$88+$Q$15*S108/36500)</f>
        <v>709.88651835616452</v>
      </c>
      <c r="W108" s="32">
        <f t="shared" si="18"/>
        <v>724.08424872328783</v>
      </c>
      <c r="X108" s="32">
        <f t="shared" si="19"/>
        <v>738.28197909041114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0"/>
        <v>30</v>
      </c>
      <c r="AM108" s="117">
        <f t="shared" si="9"/>
        <v>-150000000</v>
      </c>
      <c r="AN108" s="99"/>
    </row>
    <row r="109" spans="4:47">
      <c r="F109" s="99">
        <f t="shared" si="23"/>
        <v>8427.0334928229659</v>
      </c>
      <c r="G109" s="99">
        <f>P46</f>
        <v>501.6</v>
      </c>
      <c r="H109" s="99" t="s">
        <v>4748</v>
      </c>
      <c r="I109" s="99" t="s">
        <v>4747</v>
      </c>
      <c r="J109" s="32" t="s">
        <v>4416</v>
      </c>
      <c r="K109" s="169">
        <v>30</v>
      </c>
      <c r="L109" s="1">
        <f>K109*$L$114</f>
        <v>126810000</v>
      </c>
      <c r="M109" s="1">
        <f>N46+N23+N28</f>
        <v>43411975.199999996</v>
      </c>
      <c r="N109" s="113">
        <f t="shared" si="22"/>
        <v>83398024.800000012</v>
      </c>
      <c r="Q109" s="170">
        <v>101201</v>
      </c>
      <c r="R109" s="217" t="s">
        <v>4723</v>
      </c>
      <c r="S109" s="217">
        <f t="shared" si="21"/>
        <v>4</v>
      </c>
      <c r="T109" s="217" t="s">
        <v>4740</v>
      </c>
      <c r="U109" s="217">
        <v>290.3</v>
      </c>
      <c r="V109" s="99">
        <f>U109*(1+$N$88+$Q$15*S109/36500)</f>
        <v>294.44214356164389</v>
      </c>
      <c r="W109" s="32">
        <f t="shared" si="18"/>
        <v>300.33098643287678</v>
      </c>
      <c r="X109" s="32">
        <f t="shared" si="19"/>
        <v>306.21982930410968</v>
      </c>
      <c r="AD109" s="96"/>
      <c r="AE109"/>
      <c r="AF109"/>
      <c r="AH109" s="99">
        <v>89</v>
      </c>
      <c r="AI109" s="113" t="s">
        <v>4601</v>
      </c>
      <c r="AJ109" s="113">
        <v>10000000</v>
      </c>
      <c r="AK109" s="99">
        <v>4</v>
      </c>
      <c r="AL109" s="99">
        <f t="shared" si="20"/>
        <v>28</v>
      </c>
      <c r="AM109" s="117">
        <f t="shared" si="9"/>
        <v>280000000</v>
      </c>
      <c r="AN109" s="99"/>
    </row>
    <row r="110" spans="4:47">
      <c r="F110" s="185">
        <f t="shared" si="23"/>
        <v>937.04278430503211</v>
      </c>
      <c r="G110" s="185">
        <f>P49</f>
        <v>4511</v>
      </c>
      <c r="H110" s="185" t="s">
        <v>4754</v>
      </c>
      <c r="I110" s="185" t="s">
        <v>4753</v>
      </c>
      <c r="J110" s="226" t="s">
        <v>4551</v>
      </c>
      <c r="K110" s="203">
        <v>19</v>
      </c>
      <c r="L110" s="227">
        <f>K110*$L$114</f>
        <v>80313000</v>
      </c>
      <c r="M110" s="227">
        <f>N49</f>
        <v>13826215</v>
      </c>
      <c r="N110" s="186">
        <f t="shared" si="22"/>
        <v>66486785</v>
      </c>
      <c r="Q110" s="170">
        <v>13100555</v>
      </c>
      <c r="R110" s="217" t="s">
        <v>4757</v>
      </c>
      <c r="S110" s="217">
        <f>S109-1</f>
        <v>3</v>
      </c>
      <c r="T110" s="217" t="s">
        <v>4761</v>
      </c>
      <c r="U110" s="217">
        <v>3180.5</v>
      </c>
      <c r="V110" s="99">
        <f>U110*(1+$N$88+$Q$15*S110/36500)</f>
        <v>3223.4411068493155</v>
      </c>
      <c r="W110" s="32">
        <f t="shared" si="18"/>
        <v>3287.909928986302</v>
      </c>
      <c r="X110" s="32">
        <f t="shared" si="19"/>
        <v>3352.3787511232881</v>
      </c>
      <c r="AH110" s="99">
        <v>90</v>
      </c>
      <c r="AI110" s="113" t="s">
        <v>4603</v>
      </c>
      <c r="AJ110" s="113">
        <v>-5241937</v>
      </c>
      <c r="AK110" s="99">
        <v>0</v>
      </c>
      <c r="AL110" s="99">
        <f t="shared" si="20"/>
        <v>24</v>
      </c>
      <c r="AM110" s="117">
        <f t="shared" si="9"/>
        <v>-125806488</v>
      </c>
      <c r="AN110" s="99"/>
    </row>
    <row r="111" spans="4:47">
      <c r="F111" s="99">
        <f t="shared" si="23"/>
        <v>1084.3188056332247</v>
      </c>
      <c r="G111" s="99">
        <f>P47</f>
        <v>3898.3</v>
      </c>
      <c r="H111" s="99" t="s">
        <v>4755</v>
      </c>
      <c r="I111" s="99" t="s">
        <v>4756</v>
      </c>
      <c r="J111" s="32" t="s">
        <v>4552</v>
      </c>
      <c r="K111" s="169">
        <v>19</v>
      </c>
      <c r="L111" s="1">
        <f>K111*$L$114</f>
        <v>80313000</v>
      </c>
      <c r="M111" s="1">
        <f>N47</f>
        <v>2721013.4</v>
      </c>
      <c r="N111" s="113">
        <f t="shared" si="22"/>
        <v>77591986.599999994</v>
      </c>
      <c r="Q111" s="170">
        <v>622942</v>
      </c>
      <c r="R111" s="217" t="s">
        <v>4757</v>
      </c>
      <c r="S111" s="217">
        <f>S110</f>
        <v>3</v>
      </c>
      <c r="T111" s="217" t="s">
        <v>4762</v>
      </c>
      <c r="U111" s="217">
        <v>503.3</v>
      </c>
      <c r="V111" s="99">
        <f>U111*(1+$N$88+$Q$15*S111/36500)</f>
        <v>510.09523945205484</v>
      </c>
      <c r="W111" s="32">
        <f t="shared" si="18"/>
        <v>520.29714424109591</v>
      </c>
      <c r="X111" s="32">
        <f t="shared" si="19"/>
        <v>530.49904903013703</v>
      </c>
      <c r="AH111" s="99">
        <v>91</v>
      </c>
      <c r="AI111" s="113" t="s">
        <v>4603</v>
      </c>
      <c r="AJ111" s="113">
        <v>21900000</v>
      </c>
      <c r="AK111" s="99">
        <v>2</v>
      </c>
      <c r="AL111" s="99">
        <f t="shared" si="20"/>
        <v>24</v>
      </c>
      <c r="AM111" s="117">
        <f t="shared" si="9"/>
        <v>525600000</v>
      </c>
      <c r="AN111" s="99"/>
      <c r="AP111" t="s">
        <v>25</v>
      </c>
      <c r="AR111" s="96"/>
      <c r="AS111" s="96"/>
      <c r="AT111"/>
      <c r="AU111"/>
    </row>
    <row r="112" spans="4:47">
      <c r="F112" s="185"/>
      <c r="G112" s="185"/>
      <c r="H112" s="185"/>
      <c r="I112" s="185"/>
      <c r="J112" s="226" t="s">
        <v>4708</v>
      </c>
      <c r="K112" s="203">
        <v>5</v>
      </c>
      <c r="L112" s="227">
        <f>K112*$L$114</f>
        <v>21135000</v>
      </c>
      <c r="M112" s="227">
        <f>N22+N48+N43+N44+N50+N52+N51+N54+N55</f>
        <v>20239711.5</v>
      </c>
      <c r="N112" s="186">
        <f t="shared" si="22"/>
        <v>895288.5</v>
      </c>
      <c r="Q112" s="170">
        <v>1472140</v>
      </c>
      <c r="R112" s="169" t="s">
        <v>4768</v>
      </c>
      <c r="S112" s="169">
        <f>S111-3</f>
        <v>0</v>
      </c>
      <c r="T112" s="169" t="s">
        <v>4773</v>
      </c>
      <c r="U112" s="169">
        <v>502</v>
      </c>
      <c r="V112" s="99">
        <f>U112*(1+$N$88+$Q$15*S112/36500)</f>
        <v>507.62240000000003</v>
      </c>
      <c r="W112" s="32">
        <f t="shared" si="18"/>
        <v>517.77484800000002</v>
      </c>
      <c r="X112" s="32">
        <f t="shared" si="19"/>
        <v>527.92729600000007</v>
      </c>
      <c r="Y112" t="s">
        <v>25</v>
      </c>
      <c r="AH112" s="99">
        <v>92</v>
      </c>
      <c r="AI112" s="113" t="s">
        <v>4613</v>
      </c>
      <c r="AJ112" s="113">
        <v>-15000000</v>
      </c>
      <c r="AK112" s="99">
        <v>0</v>
      </c>
      <c r="AL112" s="99">
        <f t="shared" si="20"/>
        <v>22</v>
      </c>
      <c r="AM112" s="117">
        <f t="shared" si="9"/>
        <v>-330000000</v>
      </c>
      <c r="AN112" s="99"/>
      <c r="AO112" t="s">
        <v>25</v>
      </c>
    </row>
    <row r="113" spans="6:43">
      <c r="F113" s="99"/>
      <c r="G113" s="99"/>
      <c r="H113" s="99"/>
      <c r="I113" s="99"/>
      <c r="J113" s="169" t="s">
        <v>4730</v>
      </c>
      <c r="K113" s="169">
        <f>SUM(K106:K112)</f>
        <v>193</v>
      </c>
      <c r="L113" s="169"/>
      <c r="M113" s="169"/>
      <c r="N113" s="170"/>
      <c r="Q113" s="170"/>
      <c r="R113" s="169"/>
      <c r="S113" s="169"/>
      <c r="T113" s="169"/>
      <c r="U113" s="169"/>
      <c r="V113" s="99"/>
      <c r="W113" s="32"/>
      <c r="X113" s="32"/>
      <c r="AH113" s="99">
        <v>93</v>
      </c>
      <c r="AI113" s="113" t="s">
        <v>4613</v>
      </c>
      <c r="AJ113" s="113">
        <v>3000000</v>
      </c>
      <c r="AK113" s="99">
        <v>1</v>
      </c>
      <c r="AL113" s="99">
        <f t="shared" si="20"/>
        <v>22</v>
      </c>
      <c r="AM113" s="117">
        <f t="shared" si="9"/>
        <v>66000000</v>
      </c>
      <c r="AN113" s="99"/>
    </row>
    <row r="114" spans="6:43">
      <c r="F114" s="185"/>
      <c r="G114" s="185"/>
      <c r="H114" s="185"/>
      <c r="I114" s="185"/>
      <c r="J114" s="203"/>
      <c r="K114" s="203">
        <v>79</v>
      </c>
      <c r="L114" s="227">
        <v>4227000</v>
      </c>
      <c r="M114" s="227">
        <f>K114*L114</f>
        <v>333933000</v>
      </c>
      <c r="N114" s="186">
        <f>SUM(N106:N112)-M114</f>
        <v>21527968.799999952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4617</v>
      </c>
      <c r="AJ114" s="113">
        <v>-2103736</v>
      </c>
      <c r="AK114" s="99">
        <v>0</v>
      </c>
      <c r="AL114" s="99">
        <f t="shared" si="20"/>
        <v>21</v>
      </c>
      <c r="AM114" s="117">
        <f t="shared" si="9"/>
        <v>-44178456</v>
      </c>
      <c r="AN114" s="99"/>
    </row>
    <row r="115" spans="6:43" ht="30">
      <c r="F115" s="99"/>
      <c r="G115" s="99"/>
      <c r="H115" s="99"/>
      <c r="I115" s="99"/>
      <c r="J115" s="169"/>
      <c r="K115" s="218" t="s">
        <v>4743</v>
      </c>
      <c r="L115" s="169" t="s">
        <v>4254</v>
      </c>
      <c r="M115" s="169" t="s">
        <v>4717</v>
      </c>
      <c r="N115" s="169" t="s">
        <v>4718</v>
      </c>
      <c r="Q115" s="170"/>
      <c r="R115" s="169"/>
      <c r="S115" s="169"/>
      <c r="T115" s="169"/>
      <c r="U115" s="169"/>
      <c r="V115" s="99">
        <f>U115*(1+$N$88+$Q$15*S115/36500)</f>
        <v>0</v>
      </c>
      <c r="W115" s="32">
        <f t="shared" si="18"/>
        <v>0</v>
      </c>
      <c r="X115" s="32">
        <f t="shared" si="19"/>
        <v>0</v>
      </c>
      <c r="Y115" t="s">
        <v>25</v>
      </c>
      <c r="AH115" s="99">
        <v>95</v>
      </c>
      <c r="AI115" s="113" t="s">
        <v>4617</v>
      </c>
      <c r="AJ115" s="113">
        <v>220000</v>
      </c>
      <c r="AK115" s="99">
        <v>3</v>
      </c>
      <c r="AL115" s="99">
        <f t="shared" si="20"/>
        <v>21</v>
      </c>
      <c r="AM115" s="117">
        <f t="shared" si="9"/>
        <v>4620000</v>
      </c>
      <c r="AN115" s="99"/>
      <c r="AQ115" t="s">
        <v>25</v>
      </c>
    </row>
    <row r="116" spans="6:43">
      <c r="F116" s="185"/>
      <c r="G116" s="185"/>
      <c r="H116" s="185"/>
      <c r="I116" s="185"/>
      <c r="J116" s="203" t="s">
        <v>4728</v>
      </c>
      <c r="K116" s="203"/>
      <c r="L116" s="203"/>
      <c r="M116" s="203"/>
      <c r="N116" s="203"/>
      <c r="Q116" s="113">
        <f>SUM(N42:N57)-SUM(Q58:Q115)</f>
        <v>-30756182.899999976</v>
      </c>
      <c r="R116" s="112"/>
      <c r="S116" s="112"/>
      <c r="T116" s="112"/>
      <c r="U116" s="169"/>
      <c r="V116" s="99" t="s">
        <v>25</v>
      </c>
      <c r="W116" s="32"/>
      <c r="X116" s="32"/>
      <c r="AH116" s="99">
        <v>96</v>
      </c>
      <c r="AI116" s="113" t="s">
        <v>4627</v>
      </c>
      <c r="AJ116" s="113">
        <v>4000000</v>
      </c>
      <c r="AK116" s="99">
        <v>1</v>
      </c>
      <c r="AL116" s="99">
        <f t="shared" si="20"/>
        <v>18</v>
      </c>
      <c r="AM116" s="117">
        <f t="shared" si="9"/>
        <v>72000000</v>
      </c>
      <c r="AN116" s="99"/>
    </row>
    <row r="117" spans="6:43">
      <c r="M117" t="s">
        <v>25</v>
      </c>
      <c r="Q117" s="26"/>
      <c r="R117" s="183"/>
      <c r="S117" s="183"/>
      <c r="T117" t="s">
        <v>25</v>
      </c>
      <c r="U117" s="96" t="s">
        <v>25</v>
      </c>
      <c r="V117" s="96" t="s">
        <v>25</v>
      </c>
      <c r="AH117" s="99">
        <v>97</v>
      </c>
      <c r="AI117" s="113" t="s">
        <v>4633</v>
      </c>
      <c r="AJ117" s="113">
        <v>-9000000</v>
      </c>
      <c r="AK117" s="99">
        <v>0</v>
      </c>
      <c r="AL117" s="99">
        <f t="shared" si="20"/>
        <v>17</v>
      </c>
      <c r="AM117" s="117">
        <f t="shared" si="9"/>
        <v>-153000000</v>
      </c>
      <c r="AN117" s="99"/>
      <c r="AP117" t="s">
        <v>25</v>
      </c>
    </row>
    <row r="118" spans="6:43">
      <c r="P118" s="114"/>
      <c r="R118" s="32" t="s">
        <v>4591</v>
      </c>
      <c r="S118" s="32" t="s">
        <v>950</v>
      </c>
      <c r="T118" t="s">
        <v>25</v>
      </c>
      <c r="U118" s="96" t="s">
        <v>25</v>
      </c>
      <c r="V118" s="96" t="s">
        <v>25</v>
      </c>
      <c r="W118" s="96" t="s">
        <v>25</v>
      </c>
      <c r="X118" s="122" t="s">
        <v>25</v>
      </c>
      <c r="AH118" s="99">
        <v>98</v>
      </c>
      <c r="AI118" s="113" t="s">
        <v>4633</v>
      </c>
      <c r="AJ118" s="113">
        <v>13900000</v>
      </c>
      <c r="AK118" s="99">
        <v>2</v>
      </c>
      <c r="AL118" s="99">
        <f t="shared" si="20"/>
        <v>17</v>
      </c>
      <c r="AM118" s="117">
        <f t="shared" si="9"/>
        <v>236300000</v>
      </c>
      <c r="AN118" s="99"/>
    </row>
    <row r="119" spans="6:43">
      <c r="K119" s="169" t="s">
        <v>4555</v>
      </c>
      <c r="L119" s="169" t="s">
        <v>4556</v>
      </c>
      <c r="M119" s="169" t="s">
        <v>4443</v>
      </c>
      <c r="N119" s="56" t="s">
        <v>190</v>
      </c>
      <c r="R119" s="32">
        <v>20</v>
      </c>
      <c r="S119" s="170">
        <v>7991977</v>
      </c>
      <c r="U119" s="96" t="s">
        <v>25</v>
      </c>
      <c r="V119" s="122" t="s">
        <v>25</v>
      </c>
      <c r="X119" t="s">
        <v>25</v>
      </c>
      <c r="AH119" s="99">
        <v>99</v>
      </c>
      <c r="AI119" s="113" t="s">
        <v>4643</v>
      </c>
      <c r="AJ119" s="113">
        <v>-8127577</v>
      </c>
      <c r="AK119" s="99">
        <v>1</v>
      </c>
      <c r="AL119" s="99">
        <f t="shared" si="20"/>
        <v>15</v>
      </c>
      <c r="AM119" s="117">
        <f t="shared" si="9"/>
        <v>-121913655</v>
      </c>
      <c r="AN119" s="99"/>
      <c r="AO119" t="s">
        <v>25</v>
      </c>
    </row>
    <row r="120" spans="6:43">
      <c r="K120" s="169" t="s">
        <v>4244</v>
      </c>
      <c r="L120" s="170">
        <v>1100000</v>
      </c>
      <c r="M120" s="170">
        <v>1637000</v>
      </c>
      <c r="N120" s="169">
        <f t="shared" ref="N120:N128" si="24">(M120-L120)*100/L120</f>
        <v>48.81818181818182</v>
      </c>
      <c r="Q120" t="s">
        <v>25</v>
      </c>
      <c r="R120" s="32">
        <v>10</v>
      </c>
      <c r="S120" s="1">
        <f>S119*R120/R119</f>
        <v>3995988.5</v>
      </c>
      <c r="U120" s="96" t="s">
        <v>25</v>
      </c>
      <c r="V120" s="122" t="s">
        <v>25</v>
      </c>
      <c r="W120" s="96" t="s">
        <v>25</v>
      </c>
      <c r="X120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0"/>
        <v>14</v>
      </c>
      <c r="AM120" s="117">
        <f t="shared" si="9"/>
        <v>221095686</v>
      </c>
      <c r="AN120" s="99"/>
      <c r="AO120" t="s">
        <v>25</v>
      </c>
      <c r="AP120" t="s">
        <v>25</v>
      </c>
    </row>
    <row r="121" spans="6:43">
      <c r="K121" s="5" t="s">
        <v>4550</v>
      </c>
      <c r="L121" s="170">
        <v>1100000</v>
      </c>
      <c r="M121" s="170">
        <v>4748000</v>
      </c>
      <c r="N121" s="169">
        <f t="shared" si="24"/>
        <v>331.63636363636363</v>
      </c>
      <c r="R121" s="32">
        <f>R119-R120</f>
        <v>10</v>
      </c>
      <c r="S121" s="1">
        <f>R121*S119/R119</f>
        <v>3995988.5</v>
      </c>
      <c r="V121" s="96"/>
      <c r="W121"/>
      <c r="AH121" s="99">
        <v>101</v>
      </c>
      <c r="AI121" s="113" t="s">
        <v>4649</v>
      </c>
      <c r="AJ121" s="113">
        <v>8800000</v>
      </c>
      <c r="AK121" s="99">
        <v>0</v>
      </c>
      <c r="AL121" s="99">
        <f t="shared" ref="AL121:AL125" si="25">AL122+AK121</f>
        <v>11</v>
      </c>
      <c r="AM121" s="117">
        <f t="shared" ref="AM121:AM138" si="26">AJ121*AL121</f>
        <v>96800000</v>
      </c>
      <c r="AN121" s="99"/>
      <c r="AP121" t="s">
        <v>25</v>
      </c>
    </row>
    <row r="122" spans="6:43" ht="45">
      <c r="K122" s="5" t="s">
        <v>4551</v>
      </c>
      <c r="L122" s="170">
        <v>1100000</v>
      </c>
      <c r="M122" s="170">
        <v>5137000</v>
      </c>
      <c r="N122" s="169">
        <f t="shared" si="24"/>
        <v>367</v>
      </c>
      <c r="P122" s="114"/>
      <c r="V122" s="96"/>
      <c r="W122"/>
      <c r="Y122" t="s">
        <v>25</v>
      </c>
      <c r="AH122" s="121">
        <v>102</v>
      </c>
      <c r="AI122" s="79" t="s">
        <v>4649</v>
      </c>
      <c r="AJ122" s="79">
        <v>13071612</v>
      </c>
      <c r="AK122" s="121">
        <v>1</v>
      </c>
      <c r="AL122" s="121">
        <f t="shared" si="25"/>
        <v>11</v>
      </c>
      <c r="AM122" s="79">
        <f t="shared" si="26"/>
        <v>143787732</v>
      </c>
      <c r="AN122" s="212" t="s">
        <v>4654</v>
      </c>
      <c r="AQ122" t="s">
        <v>25</v>
      </c>
    </row>
    <row r="123" spans="6:43">
      <c r="K123" s="19" t="s">
        <v>4397</v>
      </c>
      <c r="L123" s="170">
        <v>1100000</v>
      </c>
      <c r="M123" s="170">
        <v>4300000</v>
      </c>
      <c r="N123" s="169">
        <f t="shared" si="24"/>
        <v>290.90909090909093</v>
      </c>
      <c r="Q123" s="99" t="s">
        <v>4470</v>
      </c>
      <c r="R123" s="99" t="s">
        <v>4472</v>
      </c>
      <c r="S123" s="99"/>
      <c r="T123" s="99" t="s">
        <v>4473</v>
      </c>
      <c r="U123" s="99"/>
      <c r="V123" s="99"/>
      <c r="W123" s="99" t="s">
        <v>4597</v>
      </c>
      <c r="AH123" s="89">
        <v>103</v>
      </c>
      <c r="AI123" s="90" t="s">
        <v>4657</v>
      </c>
      <c r="AJ123" s="90">
        <v>16727037</v>
      </c>
      <c r="AK123" s="89">
        <v>0</v>
      </c>
      <c r="AL123" s="89">
        <f t="shared" si="25"/>
        <v>10</v>
      </c>
      <c r="AM123" s="90">
        <f t="shared" si="26"/>
        <v>167270370</v>
      </c>
      <c r="AN123" s="89" t="s">
        <v>4673</v>
      </c>
    </row>
    <row r="124" spans="6:43">
      <c r="K124" s="5" t="s">
        <v>4416</v>
      </c>
      <c r="L124" s="170">
        <v>1100000</v>
      </c>
      <c r="M124" s="170">
        <v>3191000</v>
      </c>
      <c r="N124" s="169">
        <f t="shared" si="24"/>
        <v>190.09090909090909</v>
      </c>
      <c r="Q124" s="113">
        <v>1000</v>
      </c>
      <c r="R124" s="99">
        <v>0.25</v>
      </c>
      <c r="S124" s="99"/>
      <c r="T124" s="99">
        <f>1-R124</f>
        <v>0.75</v>
      </c>
      <c r="U124" s="99"/>
      <c r="V124" s="99"/>
      <c r="W124" s="99"/>
      <c r="Y124" t="s">
        <v>25</v>
      </c>
      <c r="AH124" s="99">
        <v>104</v>
      </c>
      <c r="AI124" s="113" t="s">
        <v>4657</v>
      </c>
      <c r="AJ124" s="113">
        <v>12000000</v>
      </c>
      <c r="AK124" s="99">
        <v>1</v>
      </c>
      <c r="AL124" s="99">
        <f t="shared" si="25"/>
        <v>10</v>
      </c>
      <c r="AM124" s="117">
        <f t="shared" si="26"/>
        <v>120000000</v>
      </c>
      <c r="AN124" s="99" t="s">
        <v>4674</v>
      </c>
    </row>
    <row r="125" spans="6:43">
      <c r="K125" s="5" t="s">
        <v>4552</v>
      </c>
      <c r="L125" s="170">
        <v>1100000</v>
      </c>
      <c r="M125" s="170">
        <v>5623000</v>
      </c>
      <c r="N125" s="169">
        <f t="shared" si="24"/>
        <v>411.18181818181819</v>
      </c>
      <c r="Q125" s="169" t="s">
        <v>4457</v>
      </c>
      <c r="R125" s="169" t="s">
        <v>4475</v>
      </c>
      <c r="S125" s="169" t="s">
        <v>4477</v>
      </c>
      <c r="T125" s="169" t="s">
        <v>180</v>
      </c>
      <c r="U125" s="169" t="s">
        <v>4471</v>
      </c>
      <c r="V125" s="56" t="s">
        <v>4474</v>
      </c>
      <c r="W125" s="99"/>
      <c r="X125" s="115"/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5"/>
        <v>9</v>
      </c>
      <c r="AM125" s="90">
        <f t="shared" si="26"/>
        <v>798279003</v>
      </c>
      <c r="AN125" s="89" t="s">
        <v>4675</v>
      </c>
      <c r="AP125" t="s">
        <v>25</v>
      </c>
    </row>
    <row r="126" spans="6:43">
      <c r="K126" s="19" t="s">
        <v>4401</v>
      </c>
      <c r="L126" s="170">
        <v>1100000</v>
      </c>
      <c r="M126" s="170">
        <v>7728000</v>
      </c>
      <c r="N126" s="169">
        <f t="shared" si="24"/>
        <v>602.5454545454545</v>
      </c>
      <c r="Q126" s="169" t="s">
        <v>751</v>
      </c>
      <c r="R126" s="56">
        <v>1151345</v>
      </c>
      <c r="S126" s="113">
        <f>R126*$T$169</f>
        <v>278680518.74997091</v>
      </c>
      <c r="T126" s="169" t="s">
        <v>4469</v>
      </c>
      <c r="U126" s="169">
        <f>$Q$124*$T$124*S126/$R$149</f>
        <v>439.69907778699434</v>
      </c>
      <c r="V126" s="95">
        <f>S126+U126</f>
        <v>278680958.4490487</v>
      </c>
      <c r="W126" s="99">
        <f>R126*100/U166</f>
        <v>58.626543704932573</v>
      </c>
      <c r="X126" s="163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6"/>
        <v>808000</v>
      </c>
      <c r="AN126" s="99"/>
    </row>
    <row r="127" spans="6:43">
      <c r="K127" s="5" t="s">
        <v>4554</v>
      </c>
      <c r="L127" s="170">
        <v>1100000</v>
      </c>
      <c r="M127" s="170">
        <v>2904000</v>
      </c>
      <c r="N127" s="169">
        <f t="shared" si="24"/>
        <v>164</v>
      </c>
      <c r="P127" s="114"/>
      <c r="Q127" s="169" t="s">
        <v>4459</v>
      </c>
      <c r="R127" s="56">
        <v>754688</v>
      </c>
      <c r="S127" s="113">
        <f>R127*$T$169</f>
        <v>182670566.45434517</v>
      </c>
      <c r="T127" s="169" t="s">
        <v>4469</v>
      </c>
      <c r="U127" s="169">
        <f>$Q$124*$T$124*S127/$R$149+Q124*R124</f>
        <v>538.21562400228527</v>
      </c>
      <c r="V127" s="95">
        <f>S127+U127</f>
        <v>182671104.66996917</v>
      </c>
      <c r="W127" s="99">
        <f>R127*100/U166</f>
        <v>38.428749866971373</v>
      </c>
      <c r="X127" s="115"/>
      <c r="AH127" s="149">
        <v>107</v>
      </c>
      <c r="AI127" s="191" t="s">
        <v>4672</v>
      </c>
      <c r="AJ127" s="191">
        <v>-48200</v>
      </c>
      <c r="AK127" s="149">
        <v>0</v>
      </c>
      <c r="AL127" s="149">
        <f t="shared" ref="AL127:AL138" si="27">AL128+AK127</f>
        <v>8</v>
      </c>
      <c r="AM127" s="191">
        <f t="shared" si="26"/>
        <v>-385600</v>
      </c>
      <c r="AN127" s="149" t="s">
        <v>4684</v>
      </c>
      <c r="AQ127" t="s">
        <v>25</v>
      </c>
    </row>
    <row r="128" spans="6:43">
      <c r="K128" s="56" t="s">
        <v>1086</v>
      </c>
      <c r="L128" s="170">
        <v>1100000</v>
      </c>
      <c r="M128" s="170">
        <v>3400000</v>
      </c>
      <c r="N128" s="169">
        <f t="shared" si="24"/>
        <v>209.09090909090909</v>
      </c>
      <c r="Q128" s="169" t="s">
        <v>4458</v>
      </c>
      <c r="R128" s="56">
        <v>57830</v>
      </c>
      <c r="S128" s="113">
        <f>R128*$T$169</f>
        <v>13997623.995684018</v>
      </c>
      <c r="T128" s="169" t="s">
        <v>4469</v>
      </c>
      <c r="U128" s="169">
        <f>$Q$124*$T$124*S128/$R$149</f>
        <v>22.085298210720403</v>
      </c>
      <c r="V128" s="95">
        <f>S128+U128</f>
        <v>13997646.080982229</v>
      </c>
      <c r="W128" s="99">
        <f>R128*100/U166</f>
        <v>2.9447064280960538</v>
      </c>
      <c r="X128" s="115"/>
      <c r="AH128" s="89">
        <v>108</v>
      </c>
      <c r="AI128" s="90" t="s">
        <v>4672</v>
      </c>
      <c r="AJ128" s="90">
        <v>39327293</v>
      </c>
      <c r="AK128" s="89">
        <v>4</v>
      </c>
      <c r="AL128" s="149">
        <f t="shared" si="27"/>
        <v>8</v>
      </c>
      <c r="AM128" s="191">
        <f t="shared" si="26"/>
        <v>314618344</v>
      </c>
      <c r="AN128" s="89" t="s">
        <v>4685</v>
      </c>
    </row>
    <row r="129" spans="11:43">
      <c r="K129" s="210" t="s">
        <v>4587</v>
      </c>
      <c r="Q129" s="169"/>
      <c r="R129" s="56"/>
      <c r="S129" s="169"/>
      <c r="T129" s="169"/>
      <c r="U129" s="169"/>
      <c r="V129" s="99"/>
      <c r="W129" s="99"/>
      <c r="X129" s="115"/>
      <c r="AH129" s="89">
        <v>109</v>
      </c>
      <c r="AI129" s="90" t="s">
        <v>4703</v>
      </c>
      <c r="AJ129" s="90">
        <v>8749050</v>
      </c>
      <c r="AK129" s="89">
        <v>1</v>
      </c>
      <c r="AL129" s="89">
        <f t="shared" si="27"/>
        <v>4</v>
      </c>
      <c r="AM129" s="90">
        <f t="shared" si="26"/>
        <v>34996200</v>
      </c>
      <c r="AN129" s="89" t="s">
        <v>4707</v>
      </c>
    </row>
    <row r="130" spans="11:43">
      <c r="K130" s="210" t="s">
        <v>4588</v>
      </c>
      <c r="Q130" s="169"/>
      <c r="R130" s="56"/>
      <c r="S130" s="169"/>
      <c r="T130" s="169"/>
      <c r="U130" s="169"/>
      <c r="V130" s="169"/>
      <c r="W130" s="99"/>
      <c r="X130" s="96"/>
      <c r="AH130" s="99">
        <v>110</v>
      </c>
      <c r="AI130" s="113" t="s">
        <v>4709</v>
      </c>
      <c r="AJ130" s="113">
        <v>60000</v>
      </c>
      <c r="AK130" s="99">
        <v>1</v>
      </c>
      <c r="AL130" s="99">
        <f t="shared" si="27"/>
        <v>3</v>
      </c>
      <c r="AM130" s="117">
        <f t="shared" si="26"/>
        <v>180000</v>
      </c>
      <c r="AN130" s="99" t="s">
        <v>4710</v>
      </c>
      <c r="AQ130" t="s">
        <v>25</v>
      </c>
    </row>
    <row r="131" spans="11:43">
      <c r="K131" s="210" t="s">
        <v>4589</v>
      </c>
      <c r="Q131" s="169"/>
      <c r="R131" s="169"/>
      <c r="S131" s="169"/>
      <c r="T131" s="169"/>
      <c r="U131" s="169"/>
      <c r="V131" s="169"/>
      <c r="W131" s="99"/>
      <c r="X131" s="96"/>
      <c r="AH131" s="20">
        <v>111</v>
      </c>
      <c r="AI131" s="117" t="s">
        <v>4719</v>
      </c>
      <c r="AJ131" s="117">
        <v>4750000</v>
      </c>
      <c r="AK131" s="20">
        <v>0</v>
      </c>
      <c r="AL131" s="99">
        <f t="shared" si="27"/>
        <v>2</v>
      </c>
      <c r="AM131" s="117">
        <f t="shared" si="26"/>
        <v>9500000</v>
      </c>
      <c r="AN131" s="20"/>
    </row>
    <row r="132" spans="11:43">
      <c r="P132" s="114"/>
      <c r="Q132" s="99"/>
      <c r="R132" s="99"/>
      <c r="S132" s="99"/>
      <c r="T132" s="99" t="s">
        <v>25</v>
      </c>
      <c r="U132" s="99"/>
      <c r="V132" s="99"/>
      <c r="W132" s="99"/>
      <c r="X132" s="96"/>
      <c r="AH132" s="89">
        <v>112</v>
      </c>
      <c r="AI132" s="90" t="s">
        <v>4719</v>
      </c>
      <c r="AJ132" s="90">
        <v>13101160</v>
      </c>
      <c r="AK132" s="89">
        <v>1</v>
      </c>
      <c r="AL132" s="89">
        <f t="shared" si="27"/>
        <v>2</v>
      </c>
      <c r="AM132" s="90">
        <f t="shared" si="26"/>
        <v>26202320</v>
      </c>
      <c r="AN132" s="89" t="s">
        <v>4724</v>
      </c>
    </row>
    <row r="133" spans="11:43">
      <c r="P133" s="114"/>
      <c r="Q133" s="99"/>
      <c r="R133" s="99"/>
      <c r="S133" s="99"/>
      <c r="T133" s="99"/>
      <c r="U133" s="99"/>
      <c r="V133" s="99"/>
      <c r="W133" s="99"/>
      <c r="X133" s="96"/>
      <c r="AH133" s="20">
        <v>113</v>
      </c>
      <c r="AI133" s="117" t="s">
        <v>4723</v>
      </c>
      <c r="AJ133" s="117">
        <v>-980000</v>
      </c>
      <c r="AK133" s="20">
        <v>0</v>
      </c>
      <c r="AL133" s="99">
        <f t="shared" si="27"/>
        <v>1</v>
      </c>
      <c r="AM133" s="117">
        <f t="shared" si="26"/>
        <v>-980000</v>
      </c>
      <c r="AN133" s="20"/>
    </row>
    <row r="134" spans="11:43">
      <c r="Q134" s="99"/>
      <c r="R134" s="99"/>
      <c r="S134" s="99"/>
      <c r="T134" s="99"/>
      <c r="U134" s="99"/>
      <c r="V134" s="99"/>
      <c r="W134" s="99"/>
      <c r="X134" s="96"/>
      <c r="AH134" s="89">
        <v>114</v>
      </c>
      <c r="AI134" s="90" t="s">
        <v>4723</v>
      </c>
      <c r="AJ134" s="90">
        <v>13301790</v>
      </c>
      <c r="AK134" s="89">
        <v>0</v>
      </c>
      <c r="AL134" s="89">
        <f t="shared" si="27"/>
        <v>1</v>
      </c>
      <c r="AM134" s="90">
        <f t="shared" si="26"/>
        <v>13301790</v>
      </c>
      <c r="AN134" s="89" t="s">
        <v>4724</v>
      </c>
    </row>
    <row r="135" spans="11:43">
      <c r="Q135" s="96"/>
      <c r="R135" s="96"/>
      <c r="S135" s="96"/>
      <c r="T135" s="96"/>
      <c r="V135" s="96"/>
      <c r="X135" s="115"/>
      <c r="AH135" s="20">
        <v>115</v>
      </c>
      <c r="AI135" s="117" t="s">
        <v>4723</v>
      </c>
      <c r="AJ135" s="117">
        <v>404000</v>
      </c>
      <c r="AK135" s="20">
        <v>1</v>
      </c>
      <c r="AL135" s="99">
        <f t="shared" si="27"/>
        <v>1</v>
      </c>
      <c r="AM135" s="117">
        <f t="shared" si="26"/>
        <v>404000</v>
      </c>
      <c r="AN135" s="20" t="s">
        <v>4744</v>
      </c>
      <c r="AQ135" t="s">
        <v>25</v>
      </c>
    </row>
    <row r="136" spans="11:43">
      <c r="Q136" s="96"/>
      <c r="R136" s="96"/>
      <c r="S136" s="96"/>
      <c r="T136" s="96"/>
      <c r="V136" s="96"/>
      <c r="Y136" t="s">
        <v>25</v>
      </c>
      <c r="AH136" s="99"/>
      <c r="AI136" s="113"/>
      <c r="AJ136" s="113"/>
      <c r="AK136" s="99"/>
      <c r="AL136" s="99">
        <f t="shared" si="27"/>
        <v>0</v>
      </c>
      <c r="AM136" s="117">
        <f t="shared" si="26"/>
        <v>0</v>
      </c>
      <c r="AN136" s="99"/>
    </row>
    <row r="137" spans="11:43">
      <c r="Q137" s="96"/>
      <c r="R137" s="96"/>
      <c r="S137" s="96"/>
      <c r="T137" s="96" t="s">
        <v>25</v>
      </c>
      <c r="V137" s="96"/>
      <c r="Y137" t="s">
        <v>25</v>
      </c>
      <c r="Z137" t="s">
        <v>25</v>
      </c>
      <c r="AH137" s="99"/>
      <c r="AI137" s="113"/>
      <c r="AJ137" s="113"/>
      <c r="AK137" s="99"/>
      <c r="AL137" s="99">
        <f t="shared" si="27"/>
        <v>0</v>
      </c>
      <c r="AM137" s="117">
        <f t="shared" si="26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27"/>
        <v>0</v>
      </c>
      <c r="AM138" s="117">
        <f t="shared" si="26"/>
        <v>0</v>
      </c>
      <c r="AN138" s="99"/>
    </row>
    <row r="139" spans="11:43">
      <c r="Q139" s="96"/>
      <c r="R139" s="96"/>
      <c r="S139" s="96"/>
      <c r="T139" s="99" t="s">
        <v>180</v>
      </c>
      <c r="U139" s="99" t="s">
        <v>4493</v>
      </c>
      <c r="V139" s="99" t="s">
        <v>4494</v>
      </c>
      <c r="W139" s="99" t="s">
        <v>4504</v>
      </c>
      <c r="X139" s="99" t="s">
        <v>8</v>
      </c>
      <c r="AH139" s="99"/>
      <c r="AI139" s="113"/>
      <c r="AJ139" s="113"/>
      <c r="AK139" s="99"/>
      <c r="AL139" s="99">
        <f t="shared" si="20"/>
        <v>0</v>
      </c>
      <c r="AM139" s="117">
        <f t="shared" si="9"/>
        <v>0</v>
      </c>
      <c r="AN139" s="99"/>
    </row>
    <row r="140" spans="11:43">
      <c r="Q140" s="36" t="s">
        <v>4590</v>
      </c>
      <c r="R140" s="95">
        <f>SUM(N42:N57)</f>
        <v>444613299.10000002</v>
      </c>
      <c r="T140" s="113" t="s">
        <v>4469</v>
      </c>
      <c r="U140" s="56">
        <v>1000000</v>
      </c>
      <c r="V140" s="113">
        <v>239.024</v>
      </c>
      <c r="W140" s="113">
        <f t="shared" ref="W140:W163" si="28">U140*V140</f>
        <v>239024000</v>
      </c>
      <c r="X140" s="99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9" t="s">
        <v>4460</v>
      </c>
      <c r="R141" s="95">
        <f>SUM(N21:N24)</f>
        <v>25324602.600000001</v>
      </c>
      <c r="T141" s="169" t="s">
        <v>4451</v>
      </c>
      <c r="U141" s="56">
        <v>5904</v>
      </c>
      <c r="V141" s="113">
        <v>237.148</v>
      </c>
      <c r="W141" s="113">
        <f t="shared" si="28"/>
        <v>1400121.7919999999</v>
      </c>
      <c r="X141" s="99" t="s">
        <v>751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99" t="s">
        <v>4461</v>
      </c>
      <c r="R142" s="95">
        <f>SUM(N27:N29)</f>
        <v>3536829.5</v>
      </c>
      <c r="T142" s="169" t="s">
        <v>4233</v>
      </c>
      <c r="U142" s="169">
        <v>1000</v>
      </c>
      <c r="V142" s="113">
        <v>247.393</v>
      </c>
      <c r="W142" s="113">
        <f t="shared" si="28"/>
        <v>247393</v>
      </c>
      <c r="X142" s="99" t="s">
        <v>751</v>
      </c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4462</v>
      </c>
      <c r="R143" s="95">
        <f>N40</f>
        <v>800</v>
      </c>
      <c r="T143" s="169" t="s">
        <v>4506</v>
      </c>
      <c r="U143" s="169">
        <v>8071</v>
      </c>
      <c r="V143" s="113">
        <v>247.797</v>
      </c>
      <c r="W143" s="113">
        <f t="shared" si="28"/>
        <v>1999969.5870000001</v>
      </c>
      <c r="X143" s="99" t="s">
        <v>4458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4463</v>
      </c>
      <c r="R144" s="95">
        <f>N20</f>
        <v>363</v>
      </c>
      <c r="T144" s="169" t="s">
        <v>4506</v>
      </c>
      <c r="U144" s="169">
        <v>53672</v>
      </c>
      <c r="V144" s="113">
        <v>247.797</v>
      </c>
      <c r="W144" s="113">
        <f t="shared" si="28"/>
        <v>13299760.584000001</v>
      </c>
      <c r="X144" s="99" t="s">
        <v>452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4464</v>
      </c>
      <c r="R145" s="95">
        <f>N26</f>
        <v>3128</v>
      </c>
      <c r="T145" s="169" t="s">
        <v>4516</v>
      </c>
      <c r="U145" s="169">
        <v>4099</v>
      </c>
      <c r="V145" s="113">
        <v>243.93</v>
      </c>
      <c r="W145" s="113">
        <f t="shared" si="28"/>
        <v>999869.07000000007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P146" s="114"/>
      <c r="Q146" s="99" t="s">
        <v>4476</v>
      </c>
      <c r="R146" s="95">
        <v>1465221</v>
      </c>
      <c r="T146" s="169" t="s">
        <v>4516</v>
      </c>
      <c r="U146" s="169">
        <v>9301</v>
      </c>
      <c r="V146" s="113">
        <v>243.93</v>
      </c>
      <c r="W146" s="113">
        <f t="shared" si="28"/>
        <v>2268792.9300000002</v>
      </c>
      <c r="X146" s="99" t="s">
        <v>452</v>
      </c>
      <c r="AI146" t="s">
        <v>4065</v>
      </c>
      <c r="AJ146" s="114">
        <f>SUM(N40:N57)</f>
        <v>444614099.10000002</v>
      </c>
      <c r="AR146" t="s">
        <v>25</v>
      </c>
    </row>
    <row r="147" spans="16:44">
      <c r="Q147" s="99" t="s">
        <v>4731</v>
      </c>
      <c r="R147" s="95">
        <v>410000</v>
      </c>
      <c r="T147" s="169" t="s">
        <v>4524</v>
      </c>
      <c r="U147" s="169">
        <v>8334</v>
      </c>
      <c r="V147" s="113">
        <v>239.97</v>
      </c>
      <c r="W147" s="113">
        <f t="shared" si="28"/>
        <v>1999909.98</v>
      </c>
      <c r="X147" s="99" t="s">
        <v>4458</v>
      </c>
      <c r="AI147" t="s">
        <v>4137</v>
      </c>
      <c r="AJ147" s="114">
        <f>AJ146-AJ140</f>
        <v>-749312.89999997616</v>
      </c>
      <c r="AM147" t="s">
        <v>25</v>
      </c>
    </row>
    <row r="148" spans="16:44">
      <c r="P148" s="114"/>
      <c r="Q148" s="99" t="s">
        <v>4771</v>
      </c>
      <c r="R148" s="95">
        <v>-5534</v>
      </c>
      <c r="T148" s="169" t="s">
        <v>4232</v>
      </c>
      <c r="U148" s="169">
        <v>29041</v>
      </c>
      <c r="V148" s="113">
        <v>233.45</v>
      </c>
      <c r="W148" s="113">
        <f t="shared" si="28"/>
        <v>6779621.4499999993</v>
      </c>
      <c r="X148" s="99" t="s">
        <v>751</v>
      </c>
      <c r="AI148" t="s">
        <v>943</v>
      </c>
      <c r="AJ148" s="114">
        <f>AN140</f>
        <v>23835425.218064517</v>
      </c>
    </row>
    <row r="149" spans="16:44">
      <c r="Q149" s="99" t="s">
        <v>4468</v>
      </c>
      <c r="R149" s="95">
        <f>SUM(R140:R148)</f>
        <v>475348709.20000005</v>
      </c>
      <c r="S149" s="115"/>
      <c r="T149" s="169" t="s">
        <v>994</v>
      </c>
      <c r="U149" s="169">
        <v>12337</v>
      </c>
      <c r="V149" s="113">
        <v>243.16300000000001</v>
      </c>
      <c r="W149" s="113">
        <f t="shared" si="28"/>
        <v>2999901.9310000003</v>
      </c>
      <c r="X149" s="99" t="s">
        <v>4458</v>
      </c>
      <c r="AI149" t="s">
        <v>4066</v>
      </c>
      <c r="AJ149" s="114">
        <f>AJ146-AJ145</f>
        <v>-24584738.118064523</v>
      </c>
    </row>
    <row r="150" spans="16:44">
      <c r="Q150" s="96"/>
      <c r="S150" s="122"/>
      <c r="T150" s="169" t="s">
        <v>4617</v>
      </c>
      <c r="U150" s="169">
        <v>-16118</v>
      </c>
      <c r="V150" s="113">
        <v>248.17</v>
      </c>
      <c r="W150" s="113">
        <f t="shared" si="28"/>
        <v>-4000004.0599999996</v>
      </c>
      <c r="X150" s="99" t="s">
        <v>751</v>
      </c>
      <c r="AM150" t="s">
        <v>25</v>
      </c>
    </row>
    <row r="151" spans="16:44">
      <c r="Q151" s="96"/>
      <c r="R151" s="184"/>
      <c r="S151" s="115"/>
      <c r="T151" s="169" t="s">
        <v>4649</v>
      </c>
      <c r="U151" s="169">
        <v>101681</v>
      </c>
      <c r="V151" s="113">
        <v>246.5711</v>
      </c>
      <c r="W151" s="113">
        <f t="shared" si="28"/>
        <v>25071596.019099999</v>
      </c>
      <c r="X151" s="99" t="s">
        <v>452</v>
      </c>
      <c r="AJ151" t="s">
        <v>25</v>
      </c>
    </row>
    <row r="152" spans="16:44">
      <c r="Q152" s="96"/>
      <c r="R152" s="184"/>
      <c r="S152" s="115"/>
      <c r="T152" s="169" t="s">
        <v>4657</v>
      </c>
      <c r="U152" s="169">
        <v>66606</v>
      </c>
      <c r="V152" s="113">
        <v>251.131</v>
      </c>
      <c r="W152" s="113">
        <f t="shared" si="28"/>
        <v>16726831.386</v>
      </c>
      <c r="X152" s="99" t="s">
        <v>751</v>
      </c>
    </row>
    <row r="153" spans="16:44">
      <c r="Q153" s="96"/>
      <c r="R153" s="115"/>
      <c r="T153" s="169" t="s">
        <v>4669</v>
      </c>
      <c r="U153" s="169">
        <v>172025</v>
      </c>
      <c r="V153" s="113">
        <v>245.52809999999999</v>
      </c>
      <c r="W153" s="113">
        <f t="shared" si="28"/>
        <v>42236971.402499996</v>
      </c>
      <c r="X153" s="99" t="s">
        <v>452</v>
      </c>
    </row>
    <row r="154" spans="16:44">
      <c r="T154" s="169" t="s">
        <v>4669</v>
      </c>
      <c r="U154" s="169">
        <v>189227</v>
      </c>
      <c r="V154" s="113">
        <v>245.52809999999999</v>
      </c>
      <c r="W154" s="113">
        <f t="shared" si="28"/>
        <v>46460545.778700002</v>
      </c>
      <c r="X154" s="99" t="s">
        <v>751</v>
      </c>
    </row>
    <row r="155" spans="16:44">
      <c r="Q155" s="99" t="s">
        <v>4458</v>
      </c>
      <c r="R155" s="99"/>
      <c r="T155" s="169" t="s">
        <v>4672</v>
      </c>
      <c r="U155" s="169">
        <v>79720</v>
      </c>
      <c r="V155" s="113">
        <v>246.6568</v>
      </c>
      <c r="W155" s="113">
        <f t="shared" si="28"/>
        <v>19663480.096000001</v>
      </c>
      <c r="X155" s="99" t="s">
        <v>452</v>
      </c>
    </row>
    <row r="156" spans="16:44">
      <c r="Q156" s="36" t="s">
        <v>180</v>
      </c>
      <c r="R156" s="99" t="s">
        <v>267</v>
      </c>
      <c r="T156" s="169" t="s">
        <v>4672</v>
      </c>
      <c r="U156" s="169">
        <v>79720</v>
      </c>
      <c r="V156" s="113">
        <v>246.6568</v>
      </c>
      <c r="W156" s="113">
        <f t="shared" si="28"/>
        <v>19663480.096000001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4451</v>
      </c>
      <c r="R157" s="95">
        <v>3000000</v>
      </c>
      <c r="T157" s="169" t="s">
        <v>4703</v>
      </c>
      <c r="U157" s="169">
        <v>17769</v>
      </c>
      <c r="V157" s="113">
        <v>246.17877999999999</v>
      </c>
      <c r="W157" s="113">
        <f t="shared" si="28"/>
        <v>4374350.7418200001</v>
      </c>
      <c r="X157" s="99" t="s">
        <v>751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99" t="s">
        <v>4506</v>
      </c>
      <c r="R158" s="95">
        <v>2000000</v>
      </c>
      <c r="T158" s="169" t="s">
        <v>4703</v>
      </c>
      <c r="U158" s="169">
        <v>17769</v>
      </c>
      <c r="V158" s="113">
        <v>246.17877999999999</v>
      </c>
      <c r="W158" s="113">
        <f t="shared" si="28"/>
        <v>4374350.7418200001</v>
      </c>
      <c r="X158" s="99" t="s">
        <v>452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29">AK158+AL159</f>
        <v>185</v>
      </c>
      <c r="AM158" s="99">
        <f t="shared" ref="AM158:AM187" si="30">AJ158*AL158</f>
        <v>318354845</v>
      </c>
      <c r="AN158" s="99" t="s">
        <v>4318</v>
      </c>
    </row>
    <row r="159" spans="16:44">
      <c r="Q159" s="99" t="s">
        <v>4516</v>
      </c>
      <c r="R159" s="95">
        <v>1000000</v>
      </c>
      <c r="T159" s="169" t="s">
        <v>4709</v>
      </c>
      <c r="U159" s="169">
        <v>12438</v>
      </c>
      <c r="V159" s="113">
        <v>241.20465999999999</v>
      </c>
      <c r="W159" s="113">
        <f t="shared" si="28"/>
        <v>3000103.5610799999</v>
      </c>
      <c r="X159" s="99" t="s">
        <v>4458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29"/>
        <v>134</v>
      </c>
      <c r="AM159" s="99">
        <f t="shared" si="30"/>
        <v>20100000</v>
      </c>
      <c r="AN159" s="99"/>
    </row>
    <row r="160" spans="16:44">
      <c r="Q160" s="99" t="s">
        <v>4524</v>
      </c>
      <c r="R160" s="95">
        <v>2000000</v>
      </c>
      <c r="T160" s="169" t="s">
        <v>4719</v>
      </c>
      <c r="U160" s="169">
        <v>27363</v>
      </c>
      <c r="V160" s="113">
        <v>239.3886</v>
      </c>
      <c r="W160" s="113">
        <f t="shared" si="28"/>
        <v>6550390.2617999995</v>
      </c>
      <c r="X160" s="99" t="s">
        <v>751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29"/>
        <v>131</v>
      </c>
      <c r="AM160" s="99">
        <f t="shared" si="30"/>
        <v>-12445000</v>
      </c>
      <c r="AN160" s="99"/>
    </row>
    <row r="161" spans="17:40">
      <c r="Q161" s="99" t="s">
        <v>994</v>
      </c>
      <c r="R161" s="95">
        <v>3000000</v>
      </c>
      <c r="T161" s="169" t="s">
        <v>4719</v>
      </c>
      <c r="U161" s="169">
        <v>27363</v>
      </c>
      <c r="V161" s="113">
        <v>239.3886</v>
      </c>
      <c r="W161" s="113">
        <f t="shared" si="28"/>
        <v>6550390.2617999995</v>
      </c>
      <c r="X161" s="99" t="s">
        <v>452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29"/>
        <v>123</v>
      </c>
      <c r="AM161" s="99">
        <f t="shared" si="30"/>
        <v>387450000</v>
      </c>
      <c r="AN161" s="99"/>
    </row>
    <row r="162" spans="17:40">
      <c r="Q162" s="99" t="s">
        <v>4709</v>
      </c>
      <c r="R162" s="95">
        <v>3000000</v>
      </c>
      <c r="T162" s="217" t="s">
        <v>4723</v>
      </c>
      <c r="U162" s="217">
        <v>27437</v>
      </c>
      <c r="V162" s="113">
        <v>242.4015</v>
      </c>
      <c r="W162" s="113">
        <f t="shared" si="28"/>
        <v>6650769.9555000002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29"/>
        <v>107</v>
      </c>
      <c r="AM162" s="99">
        <f t="shared" si="30"/>
        <v>-6955000</v>
      </c>
      <c r="AN162" s="99"/>
    </row>
    <row r="163" spans="17:40">
      <c r="Q163" s="99"/>
      <c r="R163" s="95"/>
      <c r="T163" s="217" t="s">
        <v>4723</v>
      </c>
      <c r="U163" s="217">
        <v>29104</v>
      </c>
      <c r="V163" s="113">
        <v>242.4015</v>
      </c>
      <c r="W163" s="113">
        <f t="shared" si="28"/>
        <v>7054853.2560000001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29"/>
        <v>106</v>
      </c>
      <c r="AM163" s="99">
        <f t="shared" si="30"/>
        <v>-10070000</v>
      </c>
      <c r="AN163" s="99"/>
    </row>
    <row r="164" spans="17:40">
      <c r="Q164" s="99"/>
      <c r="R164" s="95"/>
      <c r="T164" s="169"/>
      <c r="U164" s="169"/>
      <c r="V164" s="113"/>
      <c r="W164" s="113"/>
      <c r="X164" s="99"/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29"/>
        <v>100</v>
      </c>
      <c r="AM164" s="99">
        <f t="shared" si="30"/>
        <v>23200000</v>
      </c>
      <c r="AN164" s="99"/>
    </row>
    <row r="165" spans="17:40">
      <c r="Q165" s="99"/>
      <c r="R165" s="95">
        <f>SUM(R157:R162)</f>
        <v>14000000</v>
      </c>
      <c r="T165" s="169"/>
      <c r="U165" s="169"/>
      <c r="V165" s="113"/>
      <c r="W165" s="113"/>
      <c r="X165" s="99"/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29"/>
        <v>93</v>
      </c>
      <c r="AM165" s="99">
        <f t="shared" si="30"/>
        <v>1209000000</v>
      </c>
      <c r="AN165" s="99"/>
    </row>
    <row r="166" spans="17:40">
      <c r="Q166" s="99"/>
      <c r="R166" s="99" t="s">
        <v>6</v>
      </c>
      <c r="T166" s="169"/>
      <c r="U166" s="169">
        <f>SUM(U140:U165)</f>
        <v>1963863</v>
      </c>
      <c r="V166" s="99"/>
      <c r="W166" s="99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29"/>
        <v>91</v>
      </c>
      <c r="AM166" s="99">
        <f t="shared" si="30"/>
        <v>910000000</v>
      </c>
      <c r="AN166" s="99"/>
    </row>
    <row r="167" spans="17:40">
      <c r="S167" t="s">
        <v>25</v>
      </c>
      <c r="T167" s="99"/>
      <c r="U167" s="99" t="s">
        <v>6</v>
      </c>
      <c r="V167" s="99"/>
      <c r="W167" s="99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29"/>
        <v>88</v>
      </c>
      <c r="AM167" s="99">
        <f t="shared" si="30"/>
        <v>299200000</v>
      </c>
      <c r="AN167" s="99"/>
    </row>
    <row r="168" spans="17:40">
      <c r="Q168" s="96"/>
      <c r="R168" s="96"/>
      <c r="T168" s="204" t="s">
        <v>4495</v>
      </c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0"/>
        <v>-690184606</v>
      </c>
      <c r="AN168" s="99"/>
    </row>
    <row r="169" spans="17:40">
      <c r="Q169" s="96"/>
      <c r="R169" s="96"/>
      <c r="T169" s="203">
        <f>R149/U166</f>
        <v>242.04779518734253</v>
      </c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1">AK169+AL170</f>
        <v>78</v>
      </c>
      <c r="AM169" s="99">
        <f t="shared" si="30"/>
        <v>43290000</v>
      </c>
      <c r="AN169" s="99"/>
    </row>
    <row r="170" spans="17:40">
      <c r="W170" s="114"/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1"/>
        <v>73</v>
      </c>
      <c r="AM170" s="99">
        <f t="shared" si="30"/>
        <v>-32726484</v>
      </c>
      <c r="AN170" s="99"/>
    </row>
    <row r="171" spans="17:40">
      <c r="Q171" s="99" t="s">
        <v>751</v>
      </c>
      <c r="R171" s="99"/>
      <c r="U171" s="96" t="s">
        <v>267</v>
      </c>
      <c r="V171" t="s">
        <v>4496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1"/>
        <v>67</v>
      </c>
      <c r="AM171" s="99">
        <f t="shared" si="30"/>
        <v>2226075</v>
      </c>
      <c r="AN171" s="99"/>
    </row>
    <row r="172" spans="17:40">
      <c r="Q172" s="99" t="s">
        <v>4451</v>
      </c>
      <c r="R172" s="95">
        <v>172908000</v>
      </c>
      <c r="T172" s="114"/>
      <c r="U172" s="113">
        <v>7054895</v>
      </c>
      <c r="V172">
        <f>U172/T169</f>
        <v>29146.702181441411</v>
      </c>
      <c r="X172" t="s">
        <v>25</v>
      </c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1"/>
        <v>67</v>
      </c>
      <c r="AM172" s="149">
        <f t="shared" si="30"/>
        <v>274601041</v>
      </c>
      <c r="AN172" s="149" t="s">
        <v>657</v>
      </c>
    </row>
    <row r="173" spans="17:40">
      <c r="Q173" s="99" t="s">
        <v>4492</v>
      </c>
      <c r="R173" s="95">
        <v>1400000</v>
      </c>
      <c r="X173" t="s">
        <v>25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1"/>
        <v>65</v>
      </c>
      <c r="AM173" s="149">
        <f t="shared" si="30"/>
        <v>-65000000</v>
      </c>
      <c r="AN173" s="149" t="s">
        <v>657</v>
      </c>
    </row>
    <row r="174" spans="17:40">
      <c r="Q174" s="99" t="s">
        <v>4233</v>
      </c>
      <c r="R174" s="95">
        <v>247393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1"/>
        <v>58</v>
      </c>
      <c r="AM174" s="149">
        <f t="shared" si="30"/>
        <v>43500000</v>
      </c>
      <c r="AN174" s="149" t="s">
        <v>657</v>
      </c>
    </row>
    <row r="175" spans="17:40">
      <c r="Q175" s="99" t="s">
        <v>4232</v>
      </c>
      <c r="R175" s="95">
        <v>6780000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1"/>
        <v>57</v>
      </c>
      <c r="AM175" s="199">
        <f t="shared" si="30"/>
        <v>-34436664</v>
      </c>
      <c r="AN175" s="199" t="s">
        <v>657</v>
      </c>
    </row>
    <row r="176" spans="17:40">
      <c r="Q176" s="99" t="s">
        <v>4617</v>
      </c>
      <c r="R176" s="95">
        <v>-4000000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1"/>
        <v>57</v>
      </c>
      <c r="AM176" s="99">
        <f t="shared" si="30"/>
        <v>-33463731</v>
      </c>
      <c r="AN176" s="99"/>
    </row>
    <row r="177" spans="17:44" ht="60">
      <c r="Q177" s="99" t="s">
        <v>4657</v>
      </c>
      <c r="R177" s="95">
        <v>16727037</v>
      </c>
      <c r="T177" s="22" t="s">
        <v>4479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1"/>
        <v>53</v>
      </c>
      <c r="AM177" s="199">
        <f t="shared" si="30"/>
        <v>-39980603</v>
      </c>
      <c r="AN177" s="199" t="s">
        <v>657</v>
      </c>
    </row>
    <row r="178" spans="17:44" ht="45">
      <c r="Q178" s="99" t="s">
        <v>4669</v>
      </c>
      <c r="R178" s="95">
        <v>46460683</v>
      </c>
      <c r="T178" s="22" t="s">
        <v>4480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1"/>
        <v>53</v>
      </c>
      <c r="AM178" s="99">
        <f t="shared" si="30"/>
        <v>-10049807</v>
      </c>
      <c r="AN178" s="99"/>
    </row>
    <row r="179" spans="17:44">
      <c r="Q179" s="99" t="s">
        <v>4672</v>
      </c>
      <c r="R179" s="95">
        <v>19663646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1"/>
        <v>38</v>
      </c>
      <c r="AM179" s="199">
        <f t="shared" si="30"/>
        <v>269800</v>
      </c>
      <c r="AN179" s="199" t="s">
        <v>657</v>
      </c>
    </row>
    <row r="180" spans="17:44">
      <c r="Q180" s="99" t="s">
        <v>4703</v>
      </c>
      <c r="R180" s="95">
        <v>4374525</v>
      </c>
      <c r="S180" t="s">
        <v>25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1"/>
        <v>38</v>
      </c>
      <c r="AM180" s="20">
        <f t="shared" si="30"/>
        <v>-5620276</v>
      </c>
      <c r="AN180" s="20"/>
      <c r="AR180" t="s">
        <v>25</v>
      </c>
    </row>
    <row r="181" spans="17:44">
      <c r="Q181" s="99" t="s">
        <v>4719</v>
      </c>
      <c r="R181" s="95">
        <v>6550580</v>
      </c>
      <c r="T181" s="99" t="s">
        <v>4497</v>
      </c>
      <c r="U181" s="99" t="s">
        <v>4468</v>
      </c>
      <c r="V181" s="99" t="s">
        <v>953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1"/>
        <v>35</v>
      </c>
      <c r="AM181" s="199">
        <f t="shared" si="30"/>
        <v>-1302000</v>
      </c>
      <c r="AN181" s="149" t="s">
        <v>657</v>
      </c>
    </row>
    <row r="182" spans="17:44">
      <c r="Q182" s="99" t="s">
        <v>4723</v>
      </c>
      <c r="R182" s="95">
        <v>6650895</v>
      </c>
      <c r="T182" s="95">
        <f>R165+R185+R201</f>
        <v>475399001</v>
      </c>
      <c r="U182" s="95">
        <f>R149</f>
        <v>475348709.20000005</v>
      </c>
      <c r="V182" s="95">
        <f>U182-T182</f>
        <v>-50291.799999952316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1"/>
        <v>31</v>
      </c>
      <c r="AM182" s="20">
        <f t="shared" si="30"/>
        <v>-11542106</v>
      </c>
      <c r="AN182" s="99"/>
    </row>
    <row r="183" spans="17:44">
      <c r="Q183" s="99"/>
      <c r="R183" s="95"/>
      <c r="AH183" s="99">
        <v>27</v>
      </c>
      <c r="AI183" s="99" t="s">
        <v>4633</v>
      </c>
      <c r="AJ183" s="117">
        <v>235062</v>
      </c>
      <c r="AK183" s="99">
        <v>0</v>
      </c>
      <c r="AL183" s="99">
        <f t="shared" si="31"/>
        <v>10</v>
      </c>
      <c r="AM183" s="20">
        <f t="shared" si="30"/>
        <v>2350620</v>
      </c>
      <c r="AN183" s="99"/>
    </row>
    <row r="184" spans="17:44">
      <c r="Q184" s="99"/>
      <c r="R184" s="95"/>
      <c r="S184" t="s">
        <v>25</v>
      </c>
      <c r="AH184" s="149">
        <v>28</v>
      </c>
      <c r="AI184" s="149" t="s">
        <v>4633</v>
      </c>
      <c r="AJ184" s="191">
        <v>235062</v>
      </c>
      <c r="AK184" s="149">
        <v>9</v>
      </c>
      <c r="AL184" s="99">
        <f t="shared" si="31"/>
        <v>10</v>
      </c>
      <c r="AM184" s="149">
        <f t="shared" si="30"/>
        <v>2350620</v>
      </c>
      <c r="AN184" s="149" t="s">
        <v>657</v>
      </c>
    </row>
    <row r="185" spans="17:44">
      <c r="Q185" s="99"/>
      <c r="R185" s="95">
        <f>SUM(R172:R182)</f>
        <v>277762759</v>
      </c>
      <c r="AH185" s="149">
        <v>29</v>
      </c>
      <c r="AI185" s="149" t="s">
        <v>4672</v>
      </c>
      <c r="AJ185" s="191">
        <v>450000</v>
      </c>
      <c r="AK185" s="149">
        <v>0</v>
      </c>
      <c r="AL185" s="99">
        <f t="shared" si="31"/>
        <v>1</v>
      </c>
      <c r="AM185" s="149">
        <f t="shared" si="30"/>
        <v>450000</v>
      </c>
      <c r="AN185" s="149" t="s">
        <v>657</v>
      </c>
    </row>
    <row r="186" spans="17:44">
      <c r="Q186" s="99"/>
      <c r="R186" s="99" t="s">
        <v>6</v>
      </c>
      <c r="AH186" s="20">
        <v>30</v>
      </c>
      <c r="AI186" s="20" t="s">
        <v>4672</v>
      </c>
      <c r="AJ186" s="117">
        <v>450000</v>
      </c>
      <c r="AK186" s="20">
        <v>1</v>
      </c>
      <c r="AL186" s="99">
        <f t="shared" si="31"/>
        <v>1</v>
      </c>
      <c r="AM186" s="20">
        <f t="shared" si="30"/>
        <v>450000</v>
      </c>
      <c r="AN186" s="20"/>
    </row>
    <row r="187" spans="17:44">
      <c r="AH187" s="99"/>
      <c r="AI187" s="99"/>
      <c r="AJ187" s="117"/>
      <c r="AK187" s="99"/>
      <c r="AL187" s="99">
        <f t="shared" si="31"/>
        <v>0</v>
      </c>
      <c r="AM187" s="20">
        <f t="shared" si="30"/>
        <v>0</v>
      </c>
      <c r="AN187" s="99"/>
    </row>
    <row r="188" spans="17:44">
      <c r="T188" t="s">
        <v>25</v>
      </c>
      <c r="AH188" s="99"/>
      <c r="AI188" s="99"/>
      <c r="AJ188" s="117"/>
      <c r="AK188" s="99"/>
      <c r="AL188" s="99"/>
      <c r="AM188" s="99"/>
      <c r="AN188" s="99"/>
    </row>
    <row r="189" spans="17:44">
      <c r="Q189" s="99" t="s">
        <v>452</v>
      </c>
      <c r="R189" s="99"/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Q190" s="99" t="s">
        <v>4451</v>
      </c>
      <c r="R190" s="95">
        <v>63115000</v>
      </c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4506</v>
      </c>
      <c r="R191" s="95">
        <v>13300000</v>
      </c>
    </row>
    <row r="192" spans="17:44">
      <c r="Q192" s="99" t="s">
        <v>4516</v>
      </c>
      <c r="R192" s="95">
        <v>2269000</v>
      </c>
      <c r="AI192" t="s">
        <v>4062</v>
      </c>
      <c r="AJ192" s="114">
        <f>AJ189+AN189</f>
        <v>30985628.879999999</v>
      </c>
    </row>
    <row r="193" spans="17:40">
      <c r="Q193" s="99" t="s">
        <v>4649</v>
      </c>
      <c r="R193" s="95">
        <v>25071612</v>
      </c>
      <c r="AI193" t="s">
        <v>4065</v>
      </c>
      <c r="AJ193" s="114">
        <f>SUM(N20:N29)</f>
        <v>28864923.100000001</v>
      </c>
    </row>
    <row r="194" spans="17:40">
      <c r="Q194" s="99" t="s">
        <v>4669</v>
      </c>
      <c r="R194" s="95">
        <v>42236984</v>
      </c>
      <c r="T194" t="s">
        <v>25</v>
      </c>
      <c r="AI194" t="s">
        <v>4137</v>
      </c>
      <c r="AJ194" s="114">
        <f>AJ193-AJ189</f>
        <v>-25250.89999999851</v>
      </c>
    </row>
    <row r="195" spans="17:40">
      <c r="Q195" s="99" t="s">
        <v>4672</v>
      </c>
      <c r="R195" s="95">
        <v>19663646</v>
      </c>
      <c r="AI195" t="s">
        <v>943</v>
      </c>
      <c r="AJ195" s="114">
        <f>AN189</f>
        <v>2095454.8800000001</v>
      </c>
    </row>
    <row r="196" spans="17:40">
      <c r="Q196" s="99" t="s">
        <v>4703</v>
      </c>
      <c r="R196" s="95">
        <v>4374525</v>
      </c>
      <c r="AI196" t="s">
        <v>4066</v>
      </c>
      <c r="AJ196" s="114">
        <f>AJ194-AJ195</f>
        <v>-2120705.7799999984</v>
      </c>
      <c r="AN196" t="s">
        <v>25</v>
      </c>
    </row>
    <row r="197" spans="17:40">
      <c r="Q197" s="99" t="s">
        <v>4719</v>
      </c>
      <c r="R197" s="95">
        <v>6550580</v>
      </c>
      <c r="AN197" t="s">
        <v>25</v>
      </c>
    </row>
    <row r="198" spans="17:40">
      <c r="Q198" s="99" t="s">
        <v>4723</v>
      </c>
      <c r="R198" s="95">
        <v>7054895</v>
      </c>
      <c r="T198" t="s">
        <v>25</v>
      </c>
    </row>
    <row r="199" spans="17:40">
      <c r="Q199" s="99"/>
      <c r="R199" s="95"/>
    </row>
    <row r="200" spans="17:40">
      <c r="Q200" s="99"/>
      <c r="R200" s="95"/>
    </row>
    <row r="201" spans="17:40">
      <c r="Q201" s="99"/>
      <c r="R201" s="95">
        <f>SUM(R190:R198)</f>
        <v>183636242</v>
      </c>
    </row>
    <row r="202" spans="17:40">
      <c r="Q202" s="99"/>
      <c r="R202" s="99" t="s">
        <v>6</v>
      </c>
      <c r="T20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7 S78 S85 S90:S92 S95 S101:S102 S110 S9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E1" workbookViewId="0">
      <selection activeCell="U20" sqref="U2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4680</v>
      </c>
      <c r="AE1" s="169" t="s">
        <v>4681</v>
      </c>
    </row>
    <row r="2" spans="1:31">
      <c r="A2" s="99" t="s">
        <v>4244</v>
      </c>
      <c r="B2" s="207">
        <v>1707</v>
      </c>
      <c r="C2" s="209" t="s">
        <v>4636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4608</v>
      </c>
      <c r="B3" s="207">
        <v>1184</v>
      </c>
      <c r="C3" s="209" t="s">
        <v>4614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2" si="2">AB3/Y3</f>
        <v>0.57449014863463521</v>
      </c>
    </row>
    <row r="4" spans="1:31">
      <c r="A4" s="99" t="s">
        <v>4609</v>
      </c>
      <c r="B4" s="207">
        <v>1804</v>
      </c>
      <c r="C4" s="209" t="s">
        <v>4615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4643</v>
      </c>
      <c r="L5" s="113">
        <v>0</v>
      </c>
      <c r="M5" s="169">
        <v>3</v>
      </c>
      <c r="N5" s="113">
        <f t="shared" ref="N5" si="3">L5*M5</f>
        <v>0</v>
      </c>
      <c r="O5" s="99" t="s">
        <v>4648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4649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4657</v>
      </c>
      <c r="X6" s="169" t="s">
        <v>1086</v>
      </c>
      <c r="Y6" s="113">
        <v>4183832</v>
      </c>
      <c r="Z6" s="169">
        <f>AB6*AC6/Y6</f>
        <v>2.132843288162622</v>
      </c>
      <c r="AA6" s="194" t="s">
        <v>4397</v>
      </c>
      <c r="AB6" s="113">
        <v>3405.9</v>
      </c>
      <c r="AC6" s="169">
        <v>2620</v>
      </c>
      <c r="AD6" s="194">
        <f t="shared" si="0"/>
        <v>1228.4071757831998</v>
      </c>
      <c r="AE6" s="169">
        <f t="shared" si="2"/>
        <v>8.1406232372619174E-4</v>
      </c>
    </row>
    <row r="7" spans="1:31">
      <c r="A7" s="99" t="s">
        <v>4581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4657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4657</v>
      </c>
      <c r="X7" s="169" t="s">
        <v>1086</v>
      </c>
      <c r="Y7" s="113">
        <v>4183832</v>
      </c>
      <c r="Z7" s="169">
        <f t="shared" ref="Z7:Z22" si="4">AB7*AC7/Y7</f>
        <v>0.23816682887840621</v>
      </c>
      <c r="AA7" s="169" t="s">
        <v>4660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4669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4657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4661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4602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4669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4657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4647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4672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4657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4662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4672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4657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186284</v>
      </c>
      <c r="C12" s="170"/>
      <c r="D12" s="59" t="s">
        <v>4772</v>
      </c>
      <c r="F12" s="114">
        <v>0</v>
      </c>
      <c r="G12" t="s">
        <v>25</v>
      </c>
      <c r="J12" s="169">
        <v>11</v>
      </c>
      <c r="K12" s="169" t="s">
        <v>4703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4669</v>
      </c>
      <c r="X12" s="169" t="s">
        <v>1086</v>
      </c>
      <c r="Y12" s="113">
        <v>4186993</v>
      </c>
      <c r="Z12" s="169">
        <f t="shared" si="4"/>
        <v>0.95852522323299805</v>
      </c>
      <c r="AA12" s="194" t="s">
        <v>4397</v>
      </c>
      <c r="AB12" s="113">
        <v>3322.3</v>
      </c>
      <c r="AC12" s="169">
        <v>1208</v>
      </c>
      <c r="AD12" s="194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4703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4669</v>
      </c>
      <c r="X13" s="169" t="s">
        <v>1086</v>
      </c>
      <c r="Y13" s="113">
        <v>4186993</v>
      </c>
      <c r="Z13" s="169">
        <f t="shared" si="4"/>
        <v>3.0092622557525175</v>
      </c>
      <c r="AA13" s="228" t="s">
        <v>4401</v>
      </c>
      <c r="AB13" s="113">
        <v>5249.9</v>
      </c>
      <c r="AC13" s="169">
        <v>2400</v>
      </c>
      <c r="AD13" s="228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4719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4672</v>
      </c>
      <c r="X14" s="169" t="s">
        <v>1086</v>
      </c>
      <c r="Y14" s="113">
        <v>4223698</v>
      </c>
      <c r="Z14" s="169">
        <f t="shared" si="4"/>
        <v>11.463347995050782</v>
      </c>
      <c r="AA14" s="228" t="s">
        <v>4401</v>
      </c>
      <c r="AB14" s="113">
        <v>5330</v>
      </c>
      <c r="AC14" s="169">
        <v>9084</v>
      </c>
      <c r="AD14" s="228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186284</v>
      </c>
      <c r="J15" s="169">
        <v>14</v>
      </c>
      <c r="K15" s="169" t="s">
        <v>4719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4672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4723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4689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4638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4723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4689</v>
      </c>
      <c r="X17" s="169" t="s">
        <v>1086</v>
      </c>
      <c r="Y17" s="113">
        <v>4369699</v>
      </c>
      <c r="Z17" s="169">
        <f t="shared" si="4"/>
        <v>8.608136716052984</v>
      </c>
      <c r="AA17" s="228" t="s">
        <v>4401</v>
      </c>
      <c r="AB17" s="113">
        <v>5393.6</v>
      </c>
      <c r="AC17" s="169">
        <v>6974</v>
      </c>
      <c r="AD17" s="228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4709</v>
      </c>
      <c r="X18" s="169" t="s">
        <v>1086</v>
      </c>
      <c r="Y18" s="113">
        <v>4374000</v>
      </c>
      <c r="Z18" s="169">
        <f t="shared" si="4"/>
        <v>2.0343806584362141</v>
      </c>
      <c r="AA18" s="229" t="s">
        <v>4401</v>
      </c>
      <c r="AB18" s="117">
        <v>5179.5</v>
      </c>
      <c r="AC18" s="19">
        <v>1718</v>
      </c>
      <c r="AD18" s="229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4723</v>
      </c>
      <c r="X19" s="169" t="s">
        <v>1086</v>
      </c>
      <c r="Y19" s="113">
        <v>4367053</v>
      </c>
      <c r="Z19" s="169">
        <f t="shared" si="4"/>
        <v>2.1370469055447687</v>
      </c>
      <c r="AA19" s="194" t="s">
        <v>4397</v>
      </c>
      <c r="AB19" s="117">
        <v>3184.1</v>
      </c>
      <c r="AC19" s="19">
        <v>2931</v>
      </c>
      <c r="AD19" s="194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SUM(N2:N17)</f>
        <v>269835608</v>
      </c>
      <c r="O20" s="170">
        <f>N20/(M20-3)</f>
        <v>4216181.375</v>
      </c>
      <c r="W20" s="219" t="s">
        <v>4723</v>
      </c>
      <c r="X20" s="219" t="s">
        <v>1086</v>
      </c>
      <c r="Y20" s="113">
        <v>4367053</v>
      </c>
      <c r="Z20" s="219">
        <f t="shared" si="4"/>
        <v>0.12751793944337292</v>
      </c>
      <c r="AA20" s="19" t="s">
        <v>4416</v>
      </c>
      <c r="AB20" s="117">
        <v>508.1</v>
      </c>
      <c r="AC20" s="19">
        <v>1096</v>
      </c>
      <c r="AD20" s="19">
        <f>Y20/AB20</f>
        <v>8594.8691202519185</v>
      </c>
      <c r="AE20" s="21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 t="s">
        <v>4757</v>
      </c>
      <c r="X21" s="169" t="s">
        <v>1086</v>
      </c>
      <c r="Y21" s="113">
        <v>4433930</v>
      </c>
      <c r="Z21" s="169">
        <f t="shared" si="4"/>
        <v>2.9409688470499082</v>
      </c>
      <c r="AA21" s="195" t="s">
        <v>4397</v>
      </c>
      <c r="AB21" s="117">
        <v>3180.5</v>
      </c>
      <c r="AC21" s="19">
        <v>4100</v>
      </c>
      <c r="AD21" s="195">
        <f t="shared" ref="AD21:AD25" si="6">Y21/AB21</f>
        <v>1394.0984121993397</v>
      </c>
      <c r="AE21" s="169">
        <f t="shared" si="2"/>
        <v>7.1730947489022151E-4</v>
      </c>
    </row>
    <row r="22" spans="1:31">
      <c r="A22" s="99"/>
      <c r="B22" s="207"/>
      <c r="C22" s="170">
        <v>3845000</v>
      </c>
      <c r="D22" s="99" t="s">
        <v>4506</v>
      </c>
      <c r="M22" s="113">
        <f>N20/M20</f>
        <v>4027397.1343283583</v>
      </c>
      <c r="W22" s="169" t="s">
        <v>4757</v>
      </c>
      <c r="X22" s="169" t="s">
        <v>1086</v>
      </c>
      <c r="Y22" s="113">
        <v>4433930</v>
      </c>
      <c r="Z22" s="169">
        <f t="shared" si="4"/>
        <v>0.13984559972755545</v>
      </c>
      <c r="AA22" s="215" t="s">
        <v>4416</v>
      </c>
      <c r="AB22" s="117">
        <v>503.3</v>
      </c>
      <c r="AC22" s="19">
        <v>1232</v>
      </c>
      <c r="AD22" s="215">
        <f t="shared" si="6"/>
        <v>8809.7158752235246</v>
      </c>
      <c r="AE22" s="169">
        <f t="shared" si="2"/>
        <v>1.1351103873989892E-4</v>
      </c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 t="e">
        <f t="shared" si="6"/>
        <v>#DIV/0!</v>
      </c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 t="e">
        <f t="shared" si="6"/>
        <v>#DIV/0!</v>
      </c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13"/>
      <c r="Z25" s="169"/>
      <c r="AA25" s="169"/>
      <c r="AB25" s="113"/>
      <c r="AC25" s="169"/>
      <c r="AD25" s="19" t="e">
        <f t="shared" si="6"/>
        <v>#DIV/0!</v>
      </c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4742</v>
      </c>
      <c r="AC26" t="s">
        <v>25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4576</v>
      </c>
      <c r="B29" s="207"/>
      <c r="C29" s="170">
        <v>3490000</v>
      </c>
      <c r="D29" s="99" t="s">
        <v>4232</v>
      </c>
      <c r="W29" s="170"/>
      <c r="X29" s="219"/>
      <c r="Y29" s="219"/>
      <c r="Z29" s="219"/>
      <c r="AA29" s="219"/>
      <c r="AB29" s="99"/>
      <c r="AC29" s="32"/>
      <c r="AD29" s="32"/>
    </row>
    <row r="30" spans="1:31">
      <c r="A30" s="99" t="s">
        <v>4577</v>
      </c>
      <c r="B30" s="207"/>
      <c r="C30" s="170">
        <v>271000</v>
      </c>
      <c r="D30" s="99" t="s">
        <v>4573</v>
      </c>
      <c r="W30" s="170"/>
      <c r="X30" s="219"/>
      <c r="Y30" s="219"/>
      <c r="Z30" s="219"/>
      <c r="AA30" s="219"/>
      <c r="AB30" s="99"/>
      <c r="AC30" s="32"/>
      <c r="AD30" s="32"/>
    </row>
    <row r="31" spans="1:31">
      <c r="A31" s="99" t="s">
        <v>4586</v>
      </c>
      <c r="B31" s="207"/>
      <c r="C31" s="170">
        <v>69700</v>
      </c>
      <c r="D31" s="99" t="s">
        <v>4578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4696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4697</v>
      </c>
      <c r="AA40" s="214">
        <v>35441</v>
      </c>
      <c r="AB40" s="96"/>
      <c r="AC40" s="96"/>
      <c r="AD40" s="96"/>
    </row>
    <row r="41" spans="1:30" ht="120">
      <c r="W41" s="96"/>
      <c r="X41" s="22" t="s">
        <v>4700</v>
      </c>
      <c r="Y41" s="22" t="s">
        <v>4699</v>
      </c>
      <c r="Z41" s="22" t="s">
        <v>4698</v>
      </c>
      <c r="AA41" s="22" t="s">
        <v>4702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4622</v>
      </c>
      <c r="AA2" s="99" t="s">
        <v>4620</v>
      </c>
      <c r="AB2" s="99" t="s">
        <v>4621</v>
      </c>
      <c r="AC2" s="99" t="s">
        <v>4624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4623</v>
      </c>
      <c r="Z4" s="99">
        <v>1</v>
      </c>
      <c r="AA4" s="99">
        <v>1</v>
      </c>
      <c r="AB4" s="99">
        <f t="shared" si="0"/>
        <v>1</v>
      </c>
      <c r="AC4" s="99" t="s">
        <v>4625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4608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2019-02-02T11:03:24Z</dcterms:modified>
</cp:coreProperties>
</file>