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33" i="52" l="1"/>
  <c r="S182" i="18"/>
  <c r="P219" i="18" l="1"/>
  <c r="N230" i="52" l="1"/>
  <c r="O227" i="52" l="1"/>
  <c r="P195" i="18"/>
  <c r="W347" i="18"/>
  <c r="W346" i="18"/>
  <c r="W345" i="18"/>
  <c r="O223" i="52" l="1"/>
  <c r="W344" i="18"/>
  <c r="J222" i="52" l="1"/>
  <c r="W343" i="18"/>
  <c r="L44" i="18"/>
  <c r="L47"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4" i="52"/>
  <c r="J235" i="52"/>
  <c r="J236" i="52"/>
  <c r="J237" i="52"/>
  <c r="J238" i="52"/>
  <c r="J239" i="52"/>
  <c r="J240" i="52"/>
  <c r="J241" i="52"/>
  <c r="J242" i="52"/>
  <c r="J243" i="52"/>
  <c r="W338" i="18"/>
  <c r="O212" i="52"/>
  <c r="P222" i="52" l="1"/>
  <c r="P227" i="52"/>
  <c r="P223" i="52"/>
  <c r="P220" i="52"/>
  <c r="P218" i="52"/>
  <c r="P216" i="52"/>
  <c r="P230" i="52"/>
  <c r="P224"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1"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G196" i="13"/>
  <c r="G199" i="13" s="1"/>
  <c r="J199" i="20"/>
  <c r="G198" i="20"/>
  <c r="K199" i="20"/>
  <c r="I199" i="20"/>
  <c r="G102" i="13"/>
  <c r="G103" i="13"/>
  <c r="U14" i="32"/>
  <c r="L14" i="32" s="1"/>
  <c r="Q9" i="32"/>
  <c r="R9" i="32"/>
  <c r="Y5" i="33"/>
  <c r="W181" i="18" l="1"/>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82" i="18" l="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2" i="18" l="1"/>
  <c r="X182"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<sst xmlns="http://schemas.openxmlformats.org/spreadsheetml/2006/main" count="12880" uniqueCount="5399">
  <si>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</si>
  <si>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</si>
  <si>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</si>
  <si>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</si>
  <si>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</si>
  <si>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</si>
  <si>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</si>
  <si>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</si>
  <si>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</si>
  <si>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</si>
  <si>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</si>
  <si>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</si>
  <si>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</si>
  <si>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</si>
  <si>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</si>
  <si>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</si>
  <si>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</si>
  <si>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</si>
  <si>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</si>
  <si>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</si>
  <si>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</si>
  <si>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</si>
  <si>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</si>
  <si>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</si>
  <si>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</si>
  <si>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</si>
  <si>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</si>
  <si>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</si>
  <si>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</si>
  <si>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</si>
  <si>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</si>
  <si>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</si>
  <si>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</si>
  <si>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</si>
  <si>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</si>
  <si>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</si>
  <si>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</si>
  <si>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</si>
  <si>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</si>
  <si>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</si>
  <si>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</si>
  <si>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</si>
  <si>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</si>
  <si>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</si>
  <si>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</si>
  <si>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</si>
  <si>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</si>
  <si>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</si>
  <si>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</si>
  <si>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</si>
  <si>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</si>
  <si>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</si>
  <si>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</si>
  <si>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</si>
  <si>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</si>
  <si>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</si>
  <si>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</si>
  <si>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</si>
  <si>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</si>
  <si>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</si>
  <si>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</si>
  <si>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</si>
  <si>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</si>
  <si>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</si>
  <si>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</si>
  <si>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</si>
  <si>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</si>
  <si>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</si>
  <si>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</si>
  <si>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</si>
  <si>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</si>
  <si>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</si>
  <si>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</si>
  <si>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</si>
  <si>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</si>
  <si>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</si>
  <si>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</si>
  <si>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</si>
  <si>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</si>
  <si>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</si>
  <si>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</si>
  <si>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</si>
  <si>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</si>
  <si>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</si>
  <si>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</si>
  <si>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</si>
  <si>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</si>
  <si>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</si>
  <si>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</si>
  <si>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</si>
  <si>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</si>
  <si>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</si>
  <si>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</si>
  <si>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</si>
  <si>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</si>
  <si>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</si>
  <si>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</si>
  <si>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</si>
  <si>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</si>
  <si>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</si>
  <si>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</si>
  <si>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</si>
  <si>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</si>
  <si>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</si>
  <si>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</si>
  <si>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</si>
  <si>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</si>
  <si>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</si>
  <si>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</si>
  <si>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</si>
  <si>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</si>
  <si>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</si>
  <si>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</si>
  <si>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</si>
  <si>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</si>
  <si>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</si>
  <si>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</si>
  <si>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</si>
  <si>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</si>
  <si>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</si>
  <si>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</si>
  <si>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</si>
  <si>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</si>
  <si>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</si>
  <si>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</si>
  <si>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</si>
  <si>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</si>
  <si>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</si>
  <si>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</si>
  <si>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</si>
  <si>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</si>
  <si>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</si>
  <si>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</si>
  <si>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</si>
  <si>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</si>
  <si>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</si>
  <si>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</si>
  <si>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</si>
  <si>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</si>
  <si>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</si>
  <si>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</si>
  <si>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</si>
  <si>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</si>
  <si>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</si>
  <si>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</si>
  <si>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</si>
  <si>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</si>
  <si>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</si>
  <si>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</si>
  <si>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</si>
  <si>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</si>
  <si>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</si>
  <si>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</si>
  <si>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</si>
  <si>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</si>
  <si>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</si>
  <si>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</si>
  <si>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</si>
  <si>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</si>
  <si>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</si>
  <si>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</si>
  <si>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</si>
  <si>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</si>
  <si>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</si>
  <si>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</si>
  <si>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</si>
  <si>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</si>
  <si>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</si>
  <si>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</si>
  <si>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</si>
  <si>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</si>
  <si>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</si>
  <si>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</si>
  <si>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</si>
  <si>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</si>
  <si>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</si>
  <si>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</si>
  <si>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</si>
  <si>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</si>
  <si>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</si>
  <si>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</si>
  <si>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</si>
  <si>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</si>
  <si>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</si>
  <si>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</si>
  <si>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</si>
  <si>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</si>
  <si>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</si>
  <si>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</si>
  <si>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</si>
  <si>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</si>
  <si>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</si>
  <si>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</si>
  <si>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</si>
  <si>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</si>
  <si>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</si>
  <si>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</si>
  <si>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</si>
  <si>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</si>
  <si>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</si>
  <si>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</si>
  <si>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</si>
  <si>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</si>
  <si>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</si>
  <si>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</si>
  <si>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</si>
  <si>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</si>
  <si>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</si>
  <si>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</si>
  <si>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</si>
  <si>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</si>
  <si>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</si>
  <si>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</si>
  <si>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</si>
  <si>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</si>
  <si>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</si>
  <si>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</si>
  <si>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</si>
  <si>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</si>
  <si>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</si>
  <si>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</si>
  <si>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</si>
  <si>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</si>
  <si>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</si>
  <si>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</si>
  <si>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</si>
  <si>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</si>
  <si>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</si>
  <si>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</si>
  <si>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</si>
  <si>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</si>
  <si>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</si>
  <si>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</si>
  <si>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</si>
  <si>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</si>
  <si>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</si>
  <si>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</si>
  <si>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</si>
  <si>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</si>
  <si>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</si>
  <si>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</si>
  <si>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</si>
  <si>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</si>
  <si>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</si>
  <si>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</si>
  <si>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</si>
  <si>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</si>
  <si>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</si>
  <si>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</si>
  <si>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</si>
  <si>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</si>
  <si>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</si>
  <si>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</si>
  <si>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</si>
  <si>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</si>
  <si>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</si>
  <si>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</si>
  <si>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</si>
  <si>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</si>
  <si>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</si>
  <si>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</si>
  <si>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</si>
  <si>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</si>
  <si>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</si>
  <si>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</si>
  <si>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</si>
  <si>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</si>
  <si>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</si>
  <si>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</si>
  <si>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</si>
  <si>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</si>
  <si>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</si>
  <si>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</si>
  <si>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</si>
  <si>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</si>
  <si>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</si>
  <si>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</si>
  <si>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</si>
  <si>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</si>
  <si>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</si>
  <si>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</si>
  <si>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</si>
  <si>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</si>
  <si>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</si>
  <si>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</si>
  <si>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</si>
  <si>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</si>
  <si>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</si>
  <si>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</si>
  <si>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</si>
  <si>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</si>
  <si>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</si>
  <si>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</si>
  <si>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</si>
  <si>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</si>
  <si>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</si>
  <si>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</si>
  <si>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</si>
  <si>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</si>
  <si>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</si>
  <si>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</si>
  <si>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</si>
  <si>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</si>
  <si>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</si>
  <si>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</si>
  <si>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</si>
  <si>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</si>
  <si>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</si>
  <si>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</si>
  <si>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</si>
  <si>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</si>
  <si>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</si>
  <si>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</si>
  <si>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</si>
  <si>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</si>
  <si>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</si>
  <si>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</si>
  <si>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</si>
  <si>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</si>
  <si>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</si>
  <si>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</si>
  <si>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</si>
  <si>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</si>
  <si>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</si>
  <si>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</si>
  <si>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</si>
  <si>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</si>
  <si>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</si>
  <si>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</si>
  <si>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</si>
  <si>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</si>
  <si>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</si>
  <si>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</si>
  <si>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</si>
  <si>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</si>
  <si>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</si>
  <si>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</si>
  <si>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</si>
  <si>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</si>
  <si>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</si>
  <si>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</si>
  <si>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</si>
  <si>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</si>
  <si>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</si>
  <si>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</si>
  <si>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</si>
  <si>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</si>
  <si>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</si>
  <si>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</si>
  <si>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</si>
  <si>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</si>
  <si>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</si>
  <si>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</si>
  <si>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</si>
  <si>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</si>
  <si>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</si>
  <si>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</si>
  <si>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</si>
  <si>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</si>
  <si>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</si>
  <si>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</si>
  <si>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</si>
  <si>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</si>
  <si>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</si>
  <si>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</si>
  <si>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</si>
  <si>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</si>
  <si>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</si>
  <si>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</si>
  <si>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</si>
  <si>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</si>
  <si>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</si>
  <si>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</si>
  <si>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</si>
  <si>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</si>
  <si>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</si>
  <si>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</si>
  <si>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</si>
  <si>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</si>
  <si>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</si>
  <si>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</si>
  <si>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</si>
  <si>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</si>
  <si>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</si>
  <si>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</si>
  <si>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</si>
  <si>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</si>
  <si>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</si>
  <si>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</si>
  <si>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</si>
  <si>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</si>
  <si>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</si>
  <si>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</si>
  <si>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</si>
  <si>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</si>
  <si>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</si>
  <si>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</si>
  <si>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</si>
  <si>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</si>
  <si>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</si>
  <si>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</si>
  <si>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</si>
  <si>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</si>
  <si>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</si>
  <si>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</si>
  <si>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</si>
  <si>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</si>
  <si>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</si>
  <si>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</si>
  <si>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</si>
  <si>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</si>
  <si>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</si>
  <si>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</si>
  <si>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</si>
  <si>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</si>
  <si>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</si>
  <si>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</si>
  <si>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</si>
  <si>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</si>
  <si>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</si>
  <si>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</si>
  <si>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</si>
  <si>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</si>
  <si>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</si>
  <si>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</si>
  <si>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</si>
  <si>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</si>
  <si>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</si>
  <si>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</si>
  <si>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</si>
  <si>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</si>
  <si>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</si>
  <si>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</si>
  <si>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</si>
  <si>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</si>
  <si>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</si>
  <si>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</si>
  <si>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</si>
  <si>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</si>
  <si>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</si>
  <si>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</si>
  <si>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</si>
  <si>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</si>
  <si>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</si>
  <si>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</si>
  <si>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</si>
  <si>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</si>
  <si>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</si>
  <si>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</si>
  <si>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</si>
  <si>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</si>
  <si>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</si>
  <si>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</si>
  <si>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</si>
  <si>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</si>
  <si>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</si>
  <si>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</si>
  <si>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</si>
  <si>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</si>
  <si>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</si>
  <si>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</si>
  <si>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</si>
  <si>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</si>
  <si>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</si>
  <si>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</si>
  <si>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</si>
  <si>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</si>
  <si>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</si>
  <si>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</si>
  <si>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</si>
  <si>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</si>
  <si>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</si>
  <si>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</si>
  <si>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</si>
  <si>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</si>
  <si>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</si>
  <si>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</si>
  <si>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</si>
  <si>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</si>
  <si>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</si>
  <si>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</si>
  <si>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</si>
  <si>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</si>
  <si>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</si>
  <si>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</si>
  <si>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</si>
  <si>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</si>
  <si>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</si>
  <si>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</si>
  <si>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</si>
  <si>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</si>
  <si>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</si>
  <si>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</si>
  <si>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</si>
  <si>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</si>
  <si>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</si>
  <si>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</si>
  <si>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</si>
  <si>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</si>
  <si>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</si>
  <si>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</si>
  <si>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</si>
  <si>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</si>
  <si>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</si>
  <si>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</si>
  <si>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</si>
  <si>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</si>
  <si>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</si>
  <si>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</si>
  <si>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</si>
  <si>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</si>
  <si>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</si>
  <si>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</si>
  <si>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</si>
  <si>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</si>
  <si>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</si>
  <si>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</si>
  <si>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</si>
  <si>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</si>
  <si>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</si>
  <si>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</si>
  <si>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</si>
  <si>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</si>
  <si>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</si>
  <si>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</si>
  <si>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</si>
  <si>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</si>
  <si>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</si>
  <si>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</si>
  <si>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</si>
  <si>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</si>
  <si>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</si>
  <si>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</si>
  <si>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</si>
  <si>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</si>
  <si>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</si>
  <si>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</si>
  <si>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</si>
  <si>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</si>
  <si>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</si>
  <si>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</si>
  <si>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</si>
  <si>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</si>
  <si>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</si>
  <si>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</si>
  <si>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</si>
  <si>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</si>
  <si>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</si>
  <si>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</si>
  <si>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</si>
  <si>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</si>
  <si>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</si>
  <si>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</si>
  <si>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</si>
  <si>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</si>
  <si>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</si>
  <si>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</si>
  <si>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</si>
  <si>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</si>
  <si>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</si>
  <si>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</si>
  <si>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</si>
  <si>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</si>
  <si>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</si>
  <si>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</si>
  <si>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</si>
  <si>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</si>
  <si>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</si>
  <si>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</si>
  <si>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</si>
  <si>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</si>
  <si>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</si>
  <si>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</si>
  <si>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</si>
  <si>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</si>
  <si>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</si>
  <si>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</si>
  <si>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</si>
  <si>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</si>
  <si>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</si>
  <si>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</si>
  <si>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</si>
  <si>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</si>
  <si>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</si>
  <si>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</si>
  <si>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</si>
  <si>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</si>
  <si>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</si>
  <si>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</si>
  <si>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</si>
  <si>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</si>
  <si>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</si>
  <si>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</si>
  <si>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</si>
  <si>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</si>
  <si>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</si>
  <si>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</si>
  <si>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</si>
  <si>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</si>
  <si>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</si>
  <si>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</si>
  <si>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</si>
  <si>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</si>
  <si>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</si>
  <si>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</si>
  <si>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</si>
  <si>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</si>
  <si>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</si>
  <si>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</si>
  <si>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</si>
  <si>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</si>
  <si>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</si>
  <si>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</si>
  <si>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</si>
  <si>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</si>
  <si>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</si>
  <si>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</si>
  <si>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</si>
  <si>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</si>
  <si>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</si>
  <si>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</si>
  <si>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</si>
  <si>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</si>
  <si>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</si>
  <si>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</si>
  <si>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</si>
  <si>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</si>
  <si>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</si>
  <si>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</si>
  <si>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</si>
  <si>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</si>
  <si>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</si>
  <si>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</si>
  <si>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</si>
  <si>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</si>
  <si>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</si>
  <si>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</si>
  <si>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</si>
  <si>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</si>
  <si>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</si>
  <si>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</si>
  <si>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</si>
  <si>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</si>
  <si>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</si>
  <si>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</si>
  <si>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</si>
  <si>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</si>
  <si>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</si>
  <si>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</si>
  <si>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</si>
  <si>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</si>
  <si>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</si>
  <si>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</si>
  <si>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</si>
  <si>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</si>
  <si>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</si>
  <si>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</si>
  <si>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</si>
  <si>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</si>
  <si>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</si>
  <si>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</si>
  <si>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</si>
  <si>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</si>
  <si>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</si>
  <si>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</si>
  <si>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</si>
  <si>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</si>
  <si>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</si>
  <si>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</si>
  <si>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</si>
  <si>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</si>
  <si>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</si>
  <si>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</si>
  <si>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</si>
  <si>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</si>
  <si>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</si>
  <si>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</si>
  <si>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</si>
  <si>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</si>
  <si>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</si>
  <si>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</si>
  <si>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</si>
  <si>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</si>
  <si>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</si>
  <si>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</si>
  <si>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</si>
  <si>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</si>
  <si>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</si>
  <si>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</si>
  <si>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</si>
  <si>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</si>
  <si>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</si>
  <si>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</si>
  <si>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</si>
  <si>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</si>
  <si>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</si>
  <si>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</si>
  <si>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</si>
  <si>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</si>
  <si>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</si>
  <si>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</si>
  <si>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</si>
  <si>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</si>
  <si>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</si>
  <si>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</si>
  <si>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</si>
  <si>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</si>
  <si>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</si>
  <si>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</si>
  <si>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</si>
  <si>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</si>
  <si>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</si>
  <si>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</si>
  <si>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</si>
  <si>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</si>
  <si>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</si>
  <si>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</si>
  <si>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</si>
  <si>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</si>
  <si>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</si>
  <si>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</si>
  <si>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</si>
  <si>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</si>
  <si>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</si>
  <si>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</si>
  <si>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</si>
  <si>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</si>
  <si>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</si>
  <si>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</si>
  <si>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</si>
  <si>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</si>
  <si>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</si>
  <si>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</si>
  <si>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</si>
  <si>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</si>
  <si>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</si>
  <si>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</si>
  <si>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</si>
  <si>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</si>
  <si>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</si>
  <si>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</si>
  <si>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</si>
  <si>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</si>
  <si>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</si>
  <si>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</si>
  <si>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</si>
  <si>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</si>
  <si>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</si>
  <si>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</si>
  <si>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</si>
  <si>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</si>
  <si>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</si>
  <si>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</si>
  <si>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</si>
  <si>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</si>
  <si>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</si>
  <si>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</si>
  <si>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</si>
  <si>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</si>
  <si>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</si>
  <si>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</si>
  <si>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</si>
  <si>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</si>
  <si>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</si>
  <si>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</si>
  <si>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</si>
  <si>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</si>
  <si>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</si>
  <si>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</si>
  <si>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</si>
  <si>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</si>
  <si>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</si>
  <si>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</si>
  <si>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</si>
  <si>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</si>
  <si>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</si>
  <si>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</si>
  <si>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</si>
  <si>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</si>
  <si>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</si>
  <si>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</si>
  <si>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</si>
  <si>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</si>
  <si>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</si>
  <si>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</si>
  <si>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</si>
  <si>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</si>
  <si>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</si>
  <si>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</si>
  <si>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</si>
  <si>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</si>
  <si>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</si>
  <si>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</si>
  <si>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</si>
  <si>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</si>
  <si>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</si>
  <si>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</si>
  <si>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</si>
  <si>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</si>
  <si>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</si>
  <si>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</si>
  <si>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</si>
  <si>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</si>
  <si>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</si>
  <si>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</si>
  <si>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</si>
  <si>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</si>
  <si>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</si>
  <si>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</si>
  <si>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</si>
  <si>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</si>
  <si>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</si>
  <si>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</si>
  <si>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</si>
  <si>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</si>
  <si>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</si>
  <si>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</si>
  <si>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</si>
  <si>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</si>
  <si>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</si>
  <si>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</si>
  <si>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</si>
  <si>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</si>
  <si>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</si>
  <si>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</si>
  <si>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</si>
  <si>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</si>
  <si>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</si>
  <si>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</si>
  <si>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</si>
  <si>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</si>
  <si>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</si>
  <si>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</si>
  <si>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</si>
  <si>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</si>
  <si>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</si>
  <si>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</si>
  <si>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</si>
  <si>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</si>
  <si>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</si>
  <si>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</si>
  <si>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</si>
  <si>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</si>
  <si>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</si>
  <si>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</si>
  <si>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</si>
  <si>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</si>
  <si>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</si>
  <si>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</si>
  <si>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</si>
  <si>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</si>
  <si>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</si>
  <si>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</si>
  <si>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</si>
  <si>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</si>
  <si>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</si>
  <si>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</si>
  <si>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</si>
  <si>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</si>
  <si>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</si>
  <si>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</si>
  <si>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</si>
  <si>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</si>
  <si>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</si>
  <si>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</si>
  <si>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</si>
  <si>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</si>
  <si>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</si>
  <si>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</si>
  <si>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</si>
  <si>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</si>
  <si>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</si>
  <si>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</si>
  <si>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</si>
  <si>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</si>
  <si>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</si>
  <si>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</si>
  <si>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</si>
  <si>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</si>
  <si>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</si>
  <si>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</si>
  <si>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</si>
  <si>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</si>
  <si>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</si>
  <si>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</si>
  <si>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</si>
  <si>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</si>
  <si>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</si>
  <si>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</si>
  <si>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</si>
  <si>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</si>
  <si>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</si>
  <si>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</si>
  <si>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</si>
  <si>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</si>
  <si>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</si>
  <si>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</si>
  <si>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</si>
  <si>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</si>
  <si>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</si>
  <si>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</si>
  <si>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</si>
  <si>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</si>
  <si>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</si>
  <si>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</si>
  <si>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</si>
  <si>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</si>
  <si>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</si>
  <si>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</si>
  <si>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</si>
  <si>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</si>
  <si>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</si>
  <si>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</si>
  <si>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</si>
  <si>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</si>
  <si>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</si>
  <si>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</si>
  <si>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</si>
  <si>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</si>
  <si>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</si>
  <si>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</si>
  <si>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</si>
  <si>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</si>
  <si>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</si>
  <si>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</si>
  <si>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</si>
  <si>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</si>
  <si>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</si>
  <si>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</si>
  <si>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</si>
  <si>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</si>
  <si>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</si>
  <si>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</si>
  <si>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</si>
  <si>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</si>
  <si>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</si>
  <si>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</si>
  <si>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</si>
  <si>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</si>
  <si>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</si>
  <si>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</si>
  <si>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</si>
  <si>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</si>
  <si>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</si>
  <si>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</si>
  <si>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</si>
  <si>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</si>
  <si>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</si>
  <si>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</si>
  <si>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</si>
  <si>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</si>
  <si>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</si>
  <si>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</si>
  <si>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</si>
  <si>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</si>
  <si>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</si>
  <si>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</si>
  <si>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</si>
  <si>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</si>
  <si>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</si>
  <si>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</si>
  <si>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</si>
  <si>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</si>
  <si>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</si>
  <si>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</si>
  <si>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</si>
  <si>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</si>
  <si>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</si>
  <si>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</si>
  <si>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</si>
  <si>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</si>
  <si>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</si>
  <si>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</si>
  <si>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</si>
  <si>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</si>
  <si>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</si>
  <si>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</si>
  <si>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</si>
  <si>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</si>
  <si>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</si>
  <si>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</si>
  <si>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</si>
  <si>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</si>
  <si>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</si>
  <si>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</si>
  <si>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</si>
  <si>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</si>
  <si>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</si>
  <si>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</si>
  <si>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</si>
  <si>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</si>
  <si>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</si>
  <si>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</si>
  <si>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</si>
  <si>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</si>
  <si>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</si>
  <si>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</si>
  <si>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</si>
  <si>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</si>
  <si>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</si>
  <si>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</si>
  <si>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</si>
  <si>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</si>
  <si>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</si>
  <si>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</si>
  <si>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</si>
  <si>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</si>
  <si>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</si>
  <si>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</si>
  <si>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</si>
  <si>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</si>
  <si>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</si>
  <si>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</si>
  <si>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</si>
  <si>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</si>
  <si>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</si>
  <si>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</si>
  <si>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</si>
  <si>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</si>
  <si>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</si>
  <si>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</si>
  <si>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</si>
  <si>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</si>
  <si>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</si>
  <si>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</si>
  <si>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</si>
  <si>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</si>
  <si>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</si>
  <si>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</si>
  <si>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</si>
  <si>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</si>
  <si>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</si>
  <si>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</si>
  <si>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</si>
  <si>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</si>
  <si>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</si>
  <si>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</si>
  <si>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</si>
  <si>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</si>
  <si>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</si>
  <si>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</si>
  <si>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</si>
  <si>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</si>
  <si>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</si>
  <si>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</si>
  <si>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</si>
  <si>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</si>
  <si>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</si>
  <si>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</si>
  <si>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</si>
  <si>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</si>
  <si>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</si>
  <si>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</si>
  <si>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</si>
  <si>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</si>
  <si>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</si>
  <si>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</si>
  <si>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</si>
  <si>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</si>
  <si>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</si>
  <si>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</si>
  <si>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</si>
  <si>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</si>
  <si>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</si>
  <si>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</si>
  <si>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</si>
  <si>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</si>
  <si>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</si>
  <si>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</si>
  <si>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</si>
  <si>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</si>
  <si>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</si>
  <si>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</si>
  <si>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</si>
  <si>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</si>
  <si>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</si>
  <si>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</si>
  <si>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</si>
  <si>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</si>
  <si>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</si>
  <si>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</si>
  <si>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</si>
  <si>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</si>
  <si>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</si>
  <si>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</si>
  <si>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</si>
  <si>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</si>
  <si>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</si>
  <si>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</si>
  <si>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</si>
  <si>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</si>
  <si>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</si>
  <si>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</si>
  <si>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</si>
  <si>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</si>
  <si>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</si>
  <si>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</si>
  <si>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</si>
  <si>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</si>
  <si>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</si>
  <si>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</si>
  <si>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</si>
  <si>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</si>
  <si>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</si>
  <si>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</si>
  <si>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</si>
  <si>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</si>
  <si>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</si>
  <si>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</si>
  <si>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</si>
  <si>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</si>
  <si>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</si>
  <si>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</si>
  <si>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</si>
  <si>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</si>
  <si>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</si>
  <si>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</si>
  <si>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</si>
  <si>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</si>
  <si>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</si>
  <si>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</si>
  <si>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</si>
  <si>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</si>
  <si>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</si>
  <si>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</si>
  <si>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</si>
  <si>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</si>
  <si>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</si>
  <si>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</si>
  <si>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</si>
  <si>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</si>
  <si>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</si>
  <si>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</si>
  <si>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</si>
  <si>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</si>
  <si>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</si>
  <si>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</si>
  <si>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</si>
  <si>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</si>
  <si>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</si>
  <si>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</si>
  <si>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</si>
  <si>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</si>
  <si>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</si>
  <si>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</si>
  <si>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</si>
  <si>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</si>
  <si>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</si>
  <si>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</si>
  <si>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</si>
  <si>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</si>
  <si>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</si>
  <si>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</si>
  <si>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</si>
  <si>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</si>
  <si>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</si>
  <si>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</si>
  <si>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</si>
  <si>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</si>
  <si>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</si>
  <si>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</si>
  <si>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</si>
  <si>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</si>
  <si>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</si>
  <si>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</si>
  <si>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</si>
  <si>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</si>
  <si>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</si>
  <si>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</si>
  <si>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</si>
  <si>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</si>
  <si>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</si>
  <si>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</si>
  <si>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</si>
  <si>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</si>
  <si>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</si>
  <si>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</si>
  <si>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</si>
  <si>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</si>
  <si>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</si>
  <si>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</si>
  <si>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</si>
  <si>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</si>
  <si>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</si>
  <si>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</si>
  <si>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</si>
  <si>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</si>
  <si>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</si>
  <si>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</si>
  <si>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</si>
  <si>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</si>
  <si>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</si>
  <si>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</si>
  <si>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</si>
  <si>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</si>
  <si>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</si>
  <si>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</si>
  <si>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</si>
  <si>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</si>
  <si>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</si>
  <si>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</si>
  <si>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</si>
  <si>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</si>
  <si>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</si>
  <si>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</si>
  <si>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</si>
  <si>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</si>
  <si>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</si>
  <si>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</si>
  <si>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</si>
  <si>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</si>
  <si>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</si>
  <si>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</si>
  <si>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</si>
  <si>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</si>
  <si>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</si>
  <si>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</si>
  <si>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</si>
  <si>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</si>
  <si>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</si>
  <si>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</si>
  <si>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</si>
  <si>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</si>
  <si>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</si>
  <si>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</si>
  <si>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</si>
  <si>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</si>
  <si>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</si>
  <si>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</si>
  <si>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</si>
  <si>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</si>
  <si>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</si>
  <si>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</si>
  <si>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</si>
  <si>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</si>
  <si>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</si>
  <si>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</si>
  <si>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</si>
  <si>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</si>
  <si>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</si>
  <si>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</si>
  <si>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</si>
  <si>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</si>
  <si>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</si>
  <si>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</si>
  <si>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</si>
  <si>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</si>
  <si>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</si>
  <si>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</si>
  <si>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</si>
  <si>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</si>
  <si>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</si>
  <si>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</si>
  <si>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</si>
  <si>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</si>
  <si>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</si>
  <si>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</si>
  <si>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</si>
  <si>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</si>
  <si>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</si>
  <si>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</si>
  <si>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</si>
  <si>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</si>
  <si>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</si>
  <si>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</si>
  <si>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</si>
  <si>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</si>
  <si>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</si>
  <si>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</si>
  <si>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</si>
  <si>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</si>
  <si>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</si>
  <si>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</si>
  <si>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</si>
  <si>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</si>
  <si>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</si>
  <si>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</si>
  <si>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</si>
  <si>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</si>
  <si>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</si>
  <si>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</si>
  <si>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</si>
  <si>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</si>
  <si>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</si>
  <si>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</si>
  <si>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</si>
  <si>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</si>
  <si>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</si>
  <si>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</si>
  <si>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</si>
  <si>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</si>
  <si>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</si>
  <si>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</si>
  <si>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</si>
  <si>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</si>
  <si>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</si>
  <si>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</si>
  <si>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</si>
  <si>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</si>
  <si>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</si>
  <si>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</si>
  <si>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</si>
  <si>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</si>
  <si>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</si>
  <si>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</si>
  <si>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</si>
  <si>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</si>
  <si>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</si>
  <si>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</si>
  <si>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</si>
  <si>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</si>
  <si>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</si>
  <si>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</si>
  <si>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</si>
  <si>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</si>
  <si>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</si>
  <si>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</si>
  <si>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</si>
  <si>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</si>
  <si>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</si>
  <si>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</si>
  <si>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</si>
  <si>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</si>
  <si>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</si>
  <si>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</si>
  <si>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</si>
  <si>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</si>
  <si>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</si>
  <si>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</si>
  <si>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</si>
  <si>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</si>
  <si>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</si>
  <si>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</si>
  <si>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</si>
  <si>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</si>
  <si>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</si>
  <si>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</si>
  <si>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</si>
  <si>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</si>
  <si>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</si>
  <si>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</si>
  <si>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</si>
  <si>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</si>
  <si>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</si>
  <si>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</si>
  <si>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</si>
  <si>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</si>
  <si>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</si>
  <si>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</si>
  <si>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</si>
  <si>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</si>
  <si>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</si>
  <si>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</si>
  <si>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</si>
  <si>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</si>
  <si>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</si>
  <si>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</si>
  <si>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</si>
  <si>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</si>
  <si>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</si>
  <si>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</si>
  <si>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</si>
  <si>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</si>
  <si>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</si>
  <si>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</si>
  <si>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</si>
  <si>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</si>
  <si>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</si>
  <si>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</si>
  <si>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</si>
  <si>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</si>
  <si>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</si>
  <si>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</si>
  <si>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</si>
  <si>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</si>
  <si>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</si>
  <si>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</si>
  <si>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</si>
  <si>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</si>
  <si>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</si>
  <si>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</si>
  <si>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</si>
  <si>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</si>
  <si>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</si>
  <si>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</si>
  <si>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</si>
  <si>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</si>
  <si>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</si>
  <si>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</si>
  <si>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</si>
  <si>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</si>
  <si>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</si>
  <si>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</si>
  <si>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</si>
  <si>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</si>
  <si>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</si>
  <si>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</si>
  <si>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</si>
  <si>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</si>
  <si>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</si>
  <si>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</si>
  <si>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</si>
  <si>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</si>
  <si>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</si>
  <si>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</si>
  <si>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</si>
  <si>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</si>
  <si>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</si>
  <si>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</si>
  <si>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</si>
  <si>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</si>
  <si>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</si>
  <si>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</si>
  <si>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</si>
  <si>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</si>
  <si>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</si>
  <si>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</si>
  <si>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</si>
  <si>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</si>
  <si>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</si>
  <si>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</si>
  <si>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</si>
  <si>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</si>
  <si>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</si>
  <si>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</si>
  <si>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</si>
  <si>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</si>
  <si>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</si>
  <si>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</si>
  <si>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</si>
  <si>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</si>
  <si>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</si>
  <si>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</si>
  <si>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</si>
  <si>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</si>
  <si>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</si>
  <si>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</si>
  <si>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</si>
  <si>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</si>
  <si>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</si>
  <si>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</si>
  <si>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</si>
  <si>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</si>
  <si>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</si>
  <si>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</si>
  <si>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</si>
  <si>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</si>
  <si>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</si>
  <si>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</si>
  <si>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</si>
  <si>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</si>
  <si>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</si>
  <si>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</si>
  <si>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</si>
  <si>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</si>
  <si>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</si>
  <si>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</si>
  <si>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</si>
  <si>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</si>
  <si>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</si>
  <si>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</si>
  <si>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</si>
  <si>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</si>
  <si>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</si>
  <si>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</si>
  <si>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</si>
  <si>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</si>
  <si>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</si>
  <si>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</si>
  <si>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</si>
  <si>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</si>
  <si>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</si>
  <si>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</si>
  <si>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</si>
  <si>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</si>
  <si>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</si>
  <si>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</si>
  <si>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</si>
  <si>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</si>
  <si>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</si>
  <si>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</si>
  <si>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</si>
  <si>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</si>
  <si>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</si>
  <si>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</si>
  <si>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</si>
  <si>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</si>
  <si>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</si>
  <si>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</si>
  <si>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</si>
  <si>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</si>
  <si>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</si>
  <si>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</si>
  <si>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</si>
  <si>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</si>
  <si>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</si>
  <si>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</si>
  <si>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</si>
  <si>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</si>
  <si>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</si>
  <si>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</si>
  <si>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</si>
  <si>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</si>
  <si>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</si>
  <si>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</si>
  <si>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</si>
  <si>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</si>
  <si>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</si>
  <si>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</si>
  <si>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</si>
  <si>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</si>
  <si>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</si>
  <si>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</si>
  <si>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</si>
  <si>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</si>
  <si>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</si>
  <si>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</si>
  <si>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</si>
  <si>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</si>
  <si>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</si>
  <si>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</si>
  <si>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</si>
  <si>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</si>
  <si>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</si>
  <si>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</si>
  <si>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</si>
  <si>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</si>
  <si>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</si>
  <si>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</si>
  <si>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</si>
  <si>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</si>
  <si>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</si>
  <si>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</si>
  <si>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</si>
  <si>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</si>
  <si>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</si>
  <si>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</si>
  <si>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</si>
  <si>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</si>
  <si>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</si>
  <si>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</si>
  <si>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</si>
  <si>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</si>
  <si>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</si>
  <si>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</si>
  <si>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</si>
  <si>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</si>
  <si>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</si>
  <si>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</si>
  <si>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</si>
  <si>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</si>
  <si>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</si>
  <si>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</si>
  <si>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</si>
  <si>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</si>
  <si>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</si>
  <si>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</si>
  <si>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</si>
  <si>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</si>
  <si>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</si>
  <si>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</si>
  <si>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</si>
  <si>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</si>
  <si>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</si>
  <si>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</si>
  <si>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</si>
  <si>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</si>
  <si>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</si>
  <si>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</si>
  <si>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</si>
  <si>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</si>
  <si>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</si>
  <si>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</si>
  <si>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</si>
  <si>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</si>
  <si>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</si>
  <si>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</si>
  <si>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</si>
  <si>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</si>
  <si>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</si>
  <si>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</si>
  <si>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</si>
  <si>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</si>
  <si>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</si>
  <si>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</si>
  <si>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</si>
  <si>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</si>
  <si>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</si>
  <si>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</si>
  <si>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</si>
  <si>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</si>
  <si>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</si>
  <si>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</si>
  <si>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</si>
  <si>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</si>
  <si>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</si>
  <si>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</si>
  <si>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</si>
  <si>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</si>
  <si>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</si>
  <si>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</si>
  <si>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</si>
  <si>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</si>
  <si>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</si>
  <si>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</si>
  <si>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</si>
  <si>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</si>
  <si>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</si>
  <si>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</si>
  <si>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</si>
  <si>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</si>
  <si>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</si>
  <si>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</si>
  <si>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</si>
  <si>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</si>
  <si>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</si>
  <si>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</si>
  <si>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</si>
  <si>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</si>
  <si>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</si>
  <si>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</si>
  <si>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</si>
  <si>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</si>
  <si>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</si>
  <si>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</si>
  <si>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</si>
  <si>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</si>
  <si>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</si>
  <si>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</si>
  <si>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</si>
  <si>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</si>
  <si>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</si>
  <si>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</si>
  <si>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</si>
  <si>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</si>
  <si>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</si>
  <si>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</si>
  <si>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</si>
  <si>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</si>
  <si>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</si>
  <si>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</si>
  <si>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</si>
  <si>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</si>
  <si>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</si>
  <si>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</si>
  <si>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</si>
  <si>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</si>
  <si>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</si>
  <si>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</si>
  <si>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</si>
  <si>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</si>
  <si>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</si>
  <si>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</si>
  <si>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</si>
  <si>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</si>
  <si>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</si>
  <si>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</si>
  <si>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</si>
  <si>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</si>
  <si>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</si>
  <si>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</si>
  <si>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</si>
  <si>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</si>
  <si>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</si>
  <si>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</si>
  <si>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</si>
  <si>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</si>
  <si>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</si>
  <si>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</si>
  <si>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</si>
  <si>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</si>
  <si>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</si>
  <si>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</si>
  <si>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</si>
  <si>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</si>
  <si>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</si>
  <si>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</si>
  <si>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</si>
  <si>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</si>
  <si>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</si>
  <si>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</si>
  <si>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</si>
  <si>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</si>
  <si>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</si>
  <si>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</si>
  <si>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</si>
  <si>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</si>
  <si>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</si>
  <si>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</si>
  <si>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</si>
  <si>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</si>
  <si>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</si>
  <si>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</si>
  <si>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</si>
  <si>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</si>
  <si>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</si>
  <si>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</si>
  <si>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</si>
  <si>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</si>
  <si>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</si>
  <si>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</si>
  <si>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</si>
  <si>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</si>
  <si>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</si>
  <si>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</si>
  <si>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</si>
  <si>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</si>
  <si>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</si>
  <si>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</si>
  <si>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</si>
  <si>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</si>
  <si>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</si>
  <si>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</si>
  <si>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</si>
  <si>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</si>
  <si>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</si>
  <si>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</si>
  <si>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</si>
  <si>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</si>
  <si>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</si>
  <si>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</si>
  <si>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</si>
  <si>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</si>
  <si>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</si>
  <si>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</si>
  <si>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</si>
  <si>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</si>
  <si>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</si>
  <si>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</si>
  <si>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</si>
  <si>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</si>
  <si>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</si>
  <si>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</si>
  <si>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</si>
  <si>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</si>
  <si>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</si>
  <si>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</si>
  <si>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</si>
  <si>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</si>
  <si>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</si>
  <si>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</si>
  <si>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</si>
  <si>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</si>
  <si>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</si>
  <si>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</si>
  <si>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</si>
  <si>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</si>
  <si>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</si>
  <si>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</si>
  <si>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</si>
  <si>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</si>
  <si>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</si>
  <si>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</si>
  <si>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</si>
  <si>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</si>
  <si>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</si>
  <si>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</si>
  <si>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</si>
  <si>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</si>
  <si>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</si>
  <si>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</si>
  <si>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</si>
  <si>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</si>
  <si>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</si>
  <si>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</si>
  <si>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</si>
  <si>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</si>
  <si>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</si>
  <si>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</si>
  <si>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</si>
  <si>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</si>
  <si>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</si>
  <si>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</si>
  <si>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</si>
  <si>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</si>
  <si>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</si>
  <si>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</si>
  <si>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</si>
  <si>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</si>
  <si>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</si>
  <si>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</si>
  <si>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</si>
  <si>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</si>
  <si>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</si>
  <si>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</si>
  <si>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</si>
  <si>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</si>
  <si>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</si>
  <si>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</si>
  <si>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</si>
  <si>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</si>
  <si>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</si>
  <si>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</si>
  <si>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</si>
  <si>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</si>
  <si>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</si>
  <si>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</si>
  <si>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</si>
  <si>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</si>
  <si>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</si>
  <si>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</si>
  <si>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</si>
  <si>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</si>
  <si>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</si>
  <si>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</si>
  <si>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</si>
  <si>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</si>
  <si>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</si>
  <si>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</si>
  <si>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</si>
  <si>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</si>
  <si>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</si>
  <si>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</si>
  <si>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</si>
  <si>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</si>
  <si>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</si>
  <si>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</si>
  <si>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</si>
  <si>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</si>
  <si>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</si>
  <si>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</si>
  <si>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</si>
  <si>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</si>
  <si>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</si>
  <si>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</si>
  <si>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</si>
  <si>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</si>
  <si>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</si>
  <si>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</si>
  <si>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</si>
  <si>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</si>
  <si>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</si>
  <si>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</si>
  <si>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</si>
  <si>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</si>
  <si>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</si>
  <si>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</si>
  <si>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</si>
  <si>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</si>
  <si>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</si>
  <si>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</si>
  <si>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</si>
  <si>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</si>
  <si>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</si>
  <si>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</si>
  <si>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</si>
  <si>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</si>
  <si>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</si>
  <si>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</si>
  <si>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</si>
  <si>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</si>
  <si>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</si>
  <si>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</si>
  <si>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</si>
  <si>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</si>
  <si>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</si>
  <si>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</si>
  <si>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</si>
  <si>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</si>
  <si>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</si>
  <si>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</si>
  <si>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</si>
  <si>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</si>
  <si>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</si>
  <si>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</si>
  <si>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</si>
  <si>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</si>
  <si>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</si>
  <si>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</si>
  <si>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</si>
  <si>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</si>
  <si>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</si>
  <si>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</si>
  <si>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</si>
  <si>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</si>
  <si>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</si>
  <si>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</si>
  <si>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</si>
  <si>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</si>
  <si>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</si>
  <si>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</si>
  <si>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</si>
  <si>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</si>
  <si>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</si>
  <si>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</si>
  <si>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</si>
  <si>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</si>
  <si>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</si>
  <si>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</si>
  <si>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</si>
  <si>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</si>
  <si>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</si>
  <si>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</si>
  <si>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</si>
  <si>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</si>
  <si>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</si>
  <si>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</si>
  <si>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</si>
  <si>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</si>
  <si>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</si>
  <si>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</si>
  <si>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</si>
  <si>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</si>
  <si>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</si>
  <si>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</si>
  <si>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</si>
  <si>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</si>
  <si>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</si>
  <si>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</si>
  <si>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</si>
  <si>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</si>
  <si>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</si>
  <si>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</si>
  <si>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</si>
  <si>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</si>
  <si>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</si>
  <si>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</si>
  <si>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</si>
  <si>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</si>
  <si>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</si>
  <si>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</si>
  <si>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</si>
  <si>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</si>
  <si>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</si>
  <si>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</si>
  <si>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</si>
  <si>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</si>
  <si>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</si>
  <si>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</si>
  <si>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</si>
  <si>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</si>
  <si>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</si>
  <si>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</si>
  <si>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</si>
  <si>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</si>
  <si>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</si>
  <si>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</si>
  <si>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</si>
  <si>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</si>
  <si>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</si>
  <si>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</si>
  <si>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</si>
  <si>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</si>
  <si>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</si>
  <si>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</si>
  <si>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</si>
  <si>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</si>
  <si>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</si>
  <si>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</si>
  <si>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</si>
  <si>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</si>
  <si>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</si>
  <si>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</si>
  <si>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</si>
  <si>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</si>
  <si>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</si>
  <si>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</si>
  <si>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</si>
  <si>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</si>
  <si>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</si>
  <si>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</si>
  <si>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</si>
  <si>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</si>
  <si>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</si>
  <si>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</si>
  <si>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</si>
  <si>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</si>
  <si>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</si>
  <si>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</si>
  <si>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</si>
  <si>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</si>
  <si>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</si>
  <si>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</si>
  <si>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</si>
  <si>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</si>
  <si>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</si>
  <si>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</si>
  <si>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</si>
  <si>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</si>
  <si>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</si>
  <si>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</si>
  <si>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</si>
  <si>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</si>
  <si>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</si>
  <si>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</si>
  <si>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</si>
  <si>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</si>
  <si>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</si>
  <si>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</si>
  <si>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</si>
  <si>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</si>
  <si>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</si>
  <si>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</si>
  <si>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</si>
  <si>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</si>
  <si>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</si>
  <si>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</si>
  <si>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</si>
  <si>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</si>
  <si>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</si>
  <si>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</si>
  <si>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</si>
  <si>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</si>
  <si>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</si>
  <si>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</si>
  <si>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</si>
  <si>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</si>
  <si>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</si>
  <si>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</si>
  <si>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</si>
  <si>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</si>
  <si>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</si>
  <si>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</si>
  <si>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</si>
  <si>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</si>
  <si>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</si>
  <si>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</si>
  <si>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</si>
  <si>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</si>
  <si>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</si>
  <si>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</si>
  <si>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</si>
  <si>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</si>
  <si>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</si>
  <si>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</si>
  <si>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</si>
  <si>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</si>
  <si>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</si>
  <si>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</si>
  <si>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</si>
  <si>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</si>
  <si>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</si>
  <si>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</si>
  <si>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</si>
  <si>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</si>
  <si>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</si>
  <si>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</si>
  <si>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</si>
  <si>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</si>
  <si>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</si>
  <si>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</si>
  <si>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</si>
  <si>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</si>
  <si>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</si>
  <si>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</si>
  <si>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</si>
  <si>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</si>
  <si>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</si>
  <si>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</si>
  <si>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</si>
  <si>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</si>
  <si>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</si>
  <si>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</si>
  <si>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</si>
  <si>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</si>
  <si>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</si>
  <si>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</si>
  <si>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</si>
  <si>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</si>
  <si>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</si>
  <si>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</si>
  <si>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</si>
  <si>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</si>
  <si>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</si>
  <si>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</si>
  <si>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</si>
  <si>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</si>
  <si>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</si>
  <si>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</si>
  <si>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</si>
  <si>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</si>
  <si>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</si>
  <si>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</si>
  <si>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</si>
  <si>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</si>
  <si>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</si>
  <si>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</si>
  <si>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</si>
  <si>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</si>
  <si>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</si>
  <si>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</si>
  <si>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</si>
  <si>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</si>
  <si>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</si>
  <si>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</si>
  <si>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</si>
  <si>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</si>
  <si>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</si>
  <si>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</si>
  <si>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</si>
  <si>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</si>
  <si>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</si>
  <si>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</si>
  <si>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</si>
  <si>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</si>
  <si>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</si>
  <si>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</si>
  <si>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</si>
  <si>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</si>
  <si>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</si>
  <si>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</si>
  <si>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</si>
  <si>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</si>
  <si>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</si>
  <si>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</si>
  <si>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</si>
  <si>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</si>
  <si>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</si>
  <si>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</si>
  <si>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</si>
  <si>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</si>
  <si>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</si>
  <si>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</si>
  <si>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</si>
  <si>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</si>
  <si>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</si>
  <si>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</si>
  <si>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</si>
  <si>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</si>
  <si>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</si>
  <si>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</si>
  <si>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</si>
  <si>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</si>
  <si>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</si>
  <si>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</si>
  <si>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</si>
  <si>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</si>
  <si>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</si>
  <si>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</si>
  <si>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</si>
  <si>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</si>
  <si>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</si>
  <si>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</si>
  <si>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</si>
  <si>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</si>
  <si>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</si>
  <si>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</si>
  <si>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</si>
  <si>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</si>
  <si>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</si>
  <si>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</si>
  <si>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</si>
  <si>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</si>
  <si>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</si>
  <si>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</si>
  <si>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</si>
  <si>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</si>
  <si>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</si>
  <si>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</si>
  <si>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</si>
  <si>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</si>
  <si>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</si>
  <si>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</si>
  <si>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</si>
  <si>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</si>
  <si>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</si>
  <si>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</si>
  <si>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</si>
  <si>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</si>
  <si>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</si>
  <si>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</si>
  <si>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</si>
  <si>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</si>
  <si>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</si>
  <si>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</si>
  <si>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</si>
  <si>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</si>
  <si>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</si>
  <si>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</si>
  <si>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</si>
  <si>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</si>
  <si>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</si>
  <si>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</si>
  <si>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</si>
  <si>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</si>
  <si>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</si>
  <si>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</si>
  <si>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</si>
  <si>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</si>
  <si>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</si>
  <si>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</si>
  <si>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</si>
  <si>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</si>
  <si>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</si>
  <si>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</si>
  <si>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</si>
  <si>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</si>
  <si>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</si>
  <si>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</si>
  <si>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</si>
  <si>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</si>
  <si>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</si>
  <si>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</si>
  <si>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</si>
  <si>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</si>
  <si>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</si>
  <si>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</si>
  <si>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</si>
  <si>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</si>
  <si>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</si>
  <si>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</si>
  <si>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</si>
  <si>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</si>
  <si>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</si>
  <si>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</si>
  <si>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</si>
  <si>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</si>
  <si>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</si>
  <si>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</si>
  <si>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</si>
  <si>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</si>
  <si>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</si>
  <si>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</si>
  <si>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</si>
  <si>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</si>
  <si>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</si>
  <si>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</si>
  <si>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</si>
  <si>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</si>
  <si>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</si>
  <si>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</si>
  <si>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</si>
  <si>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</si>
  <si>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</si>
  <si>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</si>
  <si>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</si>
  <si>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</si>
  <si>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</si>
  <si>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</si>
  <si>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</si>
  <si>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</si>
  <si>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</si>
  <si>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</si>
  <si>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</si>
  <si>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</si>
  <si>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</si>
  <si>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</si>
  <si>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</si>
  <si>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</si>
  <si>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</si>
  <si>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</si>
  <si>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</si>
  <si>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</si>
  <si>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</si>
  <si>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</si>
  <si>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</si>
  <si>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</si>
  <si>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</si>
  <si>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</si>
  <si>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</si>
  <si>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</si>
  <si>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</si>
  <si>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</si>
  <si>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</si>
  <si>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</si>
  <si>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</si>
  <si>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</si>
  <si>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</si>
  <si>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</si>
  <si>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</si>
  <si>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</si>
  <si>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</si>
  <si>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</si>
  <si>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</si>
  <si>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</si>
  <si>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</si>
  <si>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</si>
  <si>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</si>
  <si>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</si>
  <si>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</si>
  <si>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</si>
  <si>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</si>
  <si>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</si>
  <si>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</si>
  <si>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</si>
  <si>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</si>
  <si>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</si>
  <si>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</si>
  <si>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</si>
  <si>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</si>
  <si>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</si>
  <si>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</si>
  <si>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</si>
  <si>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</si>
  <si>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</si>
  <si>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</si>
  <si>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</si>
  <si>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</si>
  <si>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</si>
  <si>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</si>
  <si>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</si>
  <si>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</si>
  <si>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</si>
  <si>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</si>
  <si>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</si>
  <si>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</si>
  <si>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</si>
  <si>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</si>
  <si>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</si>
  <si>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</si>
  <si>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</si>
  <si>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</si>
  <si>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</si>
  <si>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</si>
  <si>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</si>
  <si>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</si>
  <si>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</si>
  <si>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</si>
  <si>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</si>
  <si>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</si>
  <si>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</si>
  <si>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</si>
  <si>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</si>
  <si>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</si>
  <si>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</si>
  <si>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</si>
  <si>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</si>
  <si>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</si>
  <si>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</si>
  <si>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</si>
  <si>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</si>
  <si>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</si>
  <si>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</si>
  <si>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</si>
  <si>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</si>
  <si>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</si>
  <si>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</si>
  <si>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</si>
  <si>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</si>
  <si>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</si>
  <si>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</si>
  <si>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</si>
  <si>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</si>
  <si>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</si>
  <si>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</si>
  <si>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</si>
  <si>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</si>
  <si>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</si>
  <si>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</si>
  <si>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</si>
  <si>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</si>
  <si>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</si>
  <si>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</si>
  <si>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</si>
  <si>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</si>
  <si>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</si>
  <si>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</si>
  <si>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</si>
  <si>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</si>
  <si>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</si>
  <si>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</si>
  <si>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</si>
  <si>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</si>
  <si>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</si>
  <si>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</si>
  <si>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</si>
  <si>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</si>
  <si>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</si>
  <si>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</si>
  <si>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</si>
  <si>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</si>
  <si>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</si>
  <si>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</si>
  <si>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</si>
  <si>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</si>
  <si>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</si>
  <si>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</si>
  <si>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</si>
  <si>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</si>
  <si>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</si>
  <si>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</si>
  <si>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</si>
  <si>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</si>
  <si>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</si>
  <si>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</si>
  <si>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</si>
  <si>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</si>
  <si>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</si>
  <si>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</si>
  <si>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</si>
  <si>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</si>
  <si>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</si>
  <si>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</si>
  <si>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</si>
  <si>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</si>
  <si>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</si>
  <si>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</si>
  <si>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</si>
  <si>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</si>
  <si>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</si>
  <si>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</si>
  <si>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</si>
  <si>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</si>
  <si>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</si>
  <si>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</si>
  <si>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</si>
  <si>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</si>
  <si>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</si>
  <si>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</si>
  <si>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</si>
  <si>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</si>
  <si>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</si>
  <si>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</si>
  <si>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</si>
  <si>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</si>
  <si>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</si>
  <si>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</si>
  <si>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</si>
  <si>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</si>
  <si>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</si>
  <si>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</si>
  <si>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</si>
  <si>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</si>
  <si>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</si>
  <si>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</si>
  <si>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</si>
  <si>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</si>
  <si>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</si>
  <si>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</si>
  <si>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</si>
  <si>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</si>
  <si>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</si>
  <si>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</si>
  <si>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</si>
  <si>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</si>
  <si>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</si>
  <si>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</si>
  <si>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</si>
  <si>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</si>
  <si>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</si>
  <si>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</si>
  <si>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</si>
  <si>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</si>
  <si>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</si>
  <si>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</si>
  <si>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</si>
  <si>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</si>
  <si>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</si>
  <si>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</si>
  <si>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</si>
  <si>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</si>
  <si>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</si>
  <si>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</si>
  <si>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</si>
  <si>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</si>
  <si>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</si>
  <si>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</si>
  <si>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</si>
  <si>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</si>
  <si>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</si>
  <si>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</si>
  <si>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</si>
  <si>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</si>
  <si>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</si>
  <si>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</si>
  <si>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</si>
  <si>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</si>
  <si>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</si>
  <si>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</si>
  <si>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</si>
  <si>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</si>
  <si>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</si>
  <si>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</si>
  <si>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</si>
  <si>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</si>
  <si>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</si>
  <si>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</si>
  <si>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</si>
  <si>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</si>
  <si>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</si>
  <si>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</si>
  <si>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</si>
  <si>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</si>
  <si>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</si>
  <si>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</si>
  <si>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</si>
  <si>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</si>
  <si>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</si>
  <si>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</si>
  <si>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</si>
  <si>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</si>
  <si>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</si>
  <si>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</si>
  <si>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</si>
  <si>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</si>
  <si>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</si>
  <si>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</si>
  <si>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</si>
  <si>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</si>
  <si>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</si>
  <si>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</si>
  <si>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</si>
  <si>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</si>
  <si>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</si>
  <si>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</si>
  <si>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</si>
  <si>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</si>
  <si>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</si>
  <si>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</si>
  <si>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</si>
  <si>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</si>
  <si>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</si>
  <si>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</si>
  <si>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</si>
  <si>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</si>
  <si>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</si>
  <si>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</si>
  <si>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</si>
  <si>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</si>
  <si>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</si>
  <si>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</si>
  <si>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</si>
  <si>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</si>
  <si>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</si>
  <si>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</si>
  <si>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</si>
  <si>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</si>
  <si>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</si>
  <si>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</si>
  <si>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</si>
  <si>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</si>
  <si>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</si>
  <si>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</si>
  <si>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</si>
  <si>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</si>
  <si>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</si>
  <si>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</si>
  <si>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</si>
  <si>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</si>
  <si>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</si>
  <si>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</si>
  <si>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</si>
  <si>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</si>
  <si>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</si>
  <si>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</si>
  <si>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</si>
  <si>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</si>
  <si>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</si>
  <si>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</si>
  <si>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</si>
  <si>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</si>
  <si>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</si>
  <si>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</si>
  <si>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</si>
  <si>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</si>
  <si>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</si>
  <si>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</si>
  <si>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</si>
  <si>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</si>
  <si>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</si>
  <si>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</si>
  <si>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</si>
  <si>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</si>
  <si>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</si>
  <si>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</si>
  <si>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</si>
  <si>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</si>
  <si>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</si>
  <si>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</si>
  <si>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</si>
  <si>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</si>
  <si>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</si>
  <si>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</si>
  <si>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</si>
  <si>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</si>
  <si>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</si>
  <si>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</si>
  <si>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</si>
  <si>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</si>
  <si>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</si>
  <si>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</si>
  <si>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</si>
  <si>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</si>
  <si>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</si>
  <si>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</si>
  <si>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</si>
  <si>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</si>
  <si>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</si>
  <si>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</si>
  <si>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</si>
  <si>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</si>
  <si>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</si>
  <si>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</si>
  <si>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</si>
  <si>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</si>
  <si>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</si>
  <si>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</si>
  <si>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</si>
  <si>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</si>
  <si>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</si>
  <si>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</si>
  <si>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</si>
  <si>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</si>
  <si>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</si>
  <si>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</si>
  <si>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</si>
  <si>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</si>
  <si>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</si>
  <si>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</si>
  <si>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</si>
  <si>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</si>
  <si>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</si>
  <si>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</si>
  <si>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</si>
  <si>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</si>
  <si>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</si>
  <si>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</si>
  <si>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</si>
  <si>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</si>
  <si>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</si>
  <si>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</si>
  <si>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</si>
  <si>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</si>
  <si>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</si>
  <si>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</si>
  <si>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</si>
  <si>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</si>
  <si>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</si>
  <si>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</si>
  <si>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</si>
  <si>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</si>
  <si>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</si>
  <si>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</si>
  <si>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</si>
  <si>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</si>
  <si>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</si>
  <si>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</si>
  <si>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</si>
  <si>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</si>
  <si>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</si>
  <si>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</si>
  <si>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</si>
  <si>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</si>
  <si>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</si>
  <si>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</si>
  <si>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</si>
  <si>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</si>
  <si>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</si>
  <si>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</si>
  <si>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</si>
  <si>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</si>
  <si>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</si>
  <si>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</si>
  <si>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</si>
  <si>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</si>
  <si>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</si>
  <si>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</si>
  <si>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</si>
  <si>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</si>
  <si>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</si>
  <si>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</si>
  <si>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</si>
  <si>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</si>
  <si>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</si>
  <si>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</si>
  <si>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</si>
  <si>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</si>
  <si>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</si>
  <si>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</si>
  <si>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</si>
  <si>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</si>
  <si>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</si>
  <si>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</si>
  <si>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</si>
  <si>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</si>
  <si>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</si>
  <si>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</si>
  <si>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</si>
  <si>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</si>
  <si>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</si>
  <si>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</si>
  <si>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</si>
  <si>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</si>
  <si>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</si>
  <si>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</si>
  <si>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</si>
  <si>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</si>
  <si>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</si>
  <si>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</si>
  <si>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</si>
  <si>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</si>
  <si>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</si>
  <si>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</si>
  <si>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</si>
  <si>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</si>
  <si>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</si>
  <si>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</si>
  <si>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</si>
  <si>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</si>
  <si>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</si>
  <si>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</si>
  <si>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</si>
  <si>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</si>
  <si>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</si>
  <si>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</si>
  <si>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</si>
  <si>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</si>
  <si>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</si>
  <si>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</si>
  <si>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</si>
  <si>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</si>
  <si>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</si>
  <si>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</si>
  <si>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</si>
  <si>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</si>
  <si>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</si>
  <si>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</si>
  <si>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</si>
  <si>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</si>
  <si>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</si>
  <si>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</si>
  <si>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</si>
  <si>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</si>
  <si>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</si>
  <si>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</si>
  <si>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</si>
  <si>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</si>
  <si>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</si>
  <si>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</si>
  <si>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</si>
  <si>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</si>
  <si>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</si>
  <si>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</si>
  <si>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</si>
  <si>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</si>
  <si>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</si>
  <si>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</si>
  <si>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</si>
  <si>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</si>
  <si>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</si>
  <si>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</si>
  <si>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</si>
  <si>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</si>
  <si>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</si>
  <si>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</si>
  <si>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</si>
  <si>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</si>
  <si>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</si>
  <si>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</si>
  <si>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</si>
  <si>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</si>
  <si>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</si>
  <si>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</si>
  <si>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</si>
  <si>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</si>
  <si>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</si>
  <si>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</si>
  <si>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</si>
  <si>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</si>
  <si>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</si>
  <si>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</si>
  <si>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</si>
  <si>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</si>
  <si>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</si>
  <si>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</si>
  <si>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</si>
  <si>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</si>
  <si>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</si>
  <si>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</si>
  <si>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</si>
  <si>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</si>
  <si>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</si>
  <si>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</si>
  <si>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</si>
  <si>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</si>
  <si>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</si>
  <si>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</si>
  <si>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</si>
  <si>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</si>
  <si>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</si>
  <si>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</si>
  <si>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</si>
  <si>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</si>
  <si>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</si>
  <si>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</si>
  <si>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</si>
  <si>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</si>
  <si>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</si>
  <si>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</si>
  <si>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</si>
  <si>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</si>
  <si>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</si>
  <si>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</si>
  <si>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</si>
  <si>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</si>
  <si>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</si>
  <si>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</si>
  <si>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</si>
  <si>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</si>
  <si>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</si>
  <si>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</si>
  <si>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</si>
  <si>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</si>
  <si>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</si>
  <si>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</si>
  <si>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</si>
  <si>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</si>
  <si>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</si>
  <si>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</si>
  <si>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</si>
  <si>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</si>
  <si>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</si>
  <si>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</si>
  <si>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</si>
  <si>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</si>
  <si>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</si>
  <si>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</si>
  <si>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</si>
  <si>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</si>
  <si>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</si>
  <si>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</si>
  <si>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</si>
  <si>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</si>
  <si>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</si>
  <si>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</si>
  <si>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</si>
  <si>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</si>
  <si>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</si>
  <si>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</si>
  <si>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</si>
  <si>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</si>
  <si>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</si>
  <si>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</si>
  <si>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</si>
  <si>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</si>
  <si>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</si>
  <si>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</si>
  <si>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</si>
  <si>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</si>
  <si>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</si>
  <si>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</si>
  <si>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</si>
  <si>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</si>
  <si>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</si>
  <si>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</si>
  <si>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</si>
  <si>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</si>
  <si>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</si>
  <si>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</si>
  <si>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</si>
  <si>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</si>
  <si>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</si>
  <si>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</si>
  <si>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</si>
  <si>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</si>
  <si>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</si>
  <si>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</si>
  <si>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</si>
  <si>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</si>
  <si>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</si>
  <si>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</si>
  <si>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</si>
  <si>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</si>
  <si>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</si>
  <si>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</si>
  <si>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</si>
  <si>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</si>
  <si>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</si>
  <si>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</si>
  <si>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</si>
  <si>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</si>
  <si>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</si>
  <si>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</si>
  <si>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</si>
  <si>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</si>
  <si>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</si>
  <si>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</si>
  <si>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</si>
  <si>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</si>
  <si>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</si>
  <si>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</si>
  <si>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</si>
  <si>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</si>
  <si>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</si>
  <si>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</si>
  <si>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</si>
  <si>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</si>
  <si>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</si>
  <si>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</si>
  <si>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</si>
  <si>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</si>
  <si>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</si>
  <si>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</si>
  <si>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</si>
  <si>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</si>
  <si>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</si>
  <si>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</si>
  <si>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</si>
  <si>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</si>
  <si>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</si>
  <si>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</si>
  <si>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</si>
  <si>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</si>
  <si>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</si>
  <si>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</si>
  <si>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</si>
  <si>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</si>
  <si>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</si>
  <si>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</si>
  <si>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</si>
  <si>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</si>
  <si>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</si>
  <si>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</si>
  <si>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</si>
  <si>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</si>
  <si>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</si>
  <si>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</si>
  <si>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</si>
  <si>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</si>
  <si>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</si>
  <si>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</si>
  <si>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</si>
  <si>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</si>
  <si>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</si>
  <si>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</si>
  <si>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</si>
  <si>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</si>
  <si>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</si>
  <si>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</si>
  <si>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</si>
  <si>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</si>
  <si>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</si>
  <si>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</si>
  <si>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</si>
  <si>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</si>
  <si>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</si>
  <si>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</si>
  <si>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</si>
  <si>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</si>
  <si>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</si>
  <si>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</si>
  <si>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</si>
  <si>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</si>
  <si>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</si>
  <si>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</si>
  <si>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</si>
  <si>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</si>
  <si>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</si>
  <si>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</si>
  <si>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</si>
  <si>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</si>
  <si>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</si>
  <si>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</si>
  <si>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</si>
  <si>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</si>
  <si>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</si>
  <si>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</si>
  <si>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</si>
  <si>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</si>
  <si>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</si>
  <si>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</si>
  <si>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</si>
  <si>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</si>
  <si>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</si>
  <si>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</si>
  <si>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</si>
  <si>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</si>
  <si>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</si>
  <si>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</si>
  <si>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</si>
  <si>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</si>
  <si>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</si>
  <si>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</si>
  <si>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</si>
  <si>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</si>
  <si>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</si>
  <si>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</si>
  <si>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</si>
  <si>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</si>
  <si>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</si>
  <si>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</si>
  <si>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</si>
  <si>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</si>
  <si>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</si>
  <si>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</si>
  <si>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</si>
  <si>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</si>
  <si>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</si>
  <si>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</si>
  <si>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</si>
  <si>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</si>
  <si>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</si>
  <si>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</si>
  <si>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</si>
  <si>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</si>
  <si>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</si>
  <si>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</si>
  <si>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</si>
  <si>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</si>
  <si>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</si>
  <si>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</si>
  <si>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</si>
  <si>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</si>
  <si>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</si>
  <si>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</si>
  <si>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</si>
  <si>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</si>
  <si>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</si>
  <si>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</si>
  <si>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</si>
  <si>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</si>
  <si>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</si>
  <si>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</si>
  <si>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</si>
  <si>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</si>
  <si>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</si>
  <si>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</si>
  <si>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</si>
  <si>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</si>
  <si>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</si>
  <si>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</si>
  <si>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</si>
  <si>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</si>
  <si>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</si>
  <si>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</si>
  <si>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</si>
  <si>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</si>
  <si>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</si>
  <si>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</si>
  <si>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</si>
  <si>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</si>
  <si>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</si>
  <si>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</si>
  <si>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</si>
  <si>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</si>
  <si>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</si>
  <si>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</si>
  <si>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</si>
  <si>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</si>
  <si>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</si>
  <si>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</si>
  <si>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</si>
  <si>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</si>
  <si>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</si>
  <si>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</si>
  <si>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</si>
  <si>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</si>
  <si>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</si>
  <si>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</si>
  <si>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</si>
  <si>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</si>
  <si>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</si>
  <si>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</si>
  <si>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</si>
  <si>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</si>
  <si>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</si>
  <si>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</si>
  <si>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</si>
  <si>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</si>
  <si>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</si>
  <si>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</si>
  <si>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</si>
  <si>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</si>
  <si>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</si>
  <si>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</si>
  <si>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</si>
  <si>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</si>
  <si>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</si>
  <si>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</si>
  <si>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</si>
  <si>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</si>
  <si>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</si>
  <si>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</si>
  <si>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</si>
  <si>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</si>
  <si>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</si>
  <si>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</si>
  <si>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</si>
  <si>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</si>
  <si>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</si>
  <si>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</si>
  <si>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</si>
  <si>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</si>
  <si>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</si>
  <si>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</si>
  <si>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</si>
  <si>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</si>
  <si>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</si>
  <si>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</si>
  <si>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</si>
  <si>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</si>
  <si>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</si>
  <si>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</si>
  <si>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</si>
  <si>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</si>
  <si>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</si>
  <si>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</si>
  <si>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</si>
  <si>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</si>
  <si>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</si>
  <si>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</si>
  <si>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</si>
  <si>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</si>
  <si>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</si>
  <si>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</si>
  <si>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</si>
  <si>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</si>
  <si>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</si>
  <si>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</si>
  <si>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</si>
  <si>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</si>
  <si>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</si>
  <si>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</si>
  <si>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</si>
  <si>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</si>
  <si>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</si>
  <si>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</si>
  <si>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</si>
  <si>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</si>
  <si>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</si>
  <si>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</si>
  <si>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</si>
  <si>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</si>
  <si>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</si>
  <si>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</si>
  <si>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</si>
  <si>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</si>
  <si>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</si>
  <si>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</si>
  <si>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</si>
  <si>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</si>
  <si>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</si>
  <si>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</si>
  <si>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</si>
  <si>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</si>
  <si>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</si>
  <si>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</si>
  <si>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</si>
  <si>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</si>
  <si>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</si>
  <si>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</si>
  <si>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</si>
  <si>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</si>
  <si>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</si>
  <si>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</si>
  <si>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</si>
  <si>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</si>
  <si>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</si>
  <si>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</si>
  <si>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</si>
  <si>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</si>
  <si>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</si>
  <si>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</si>
  <si>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</si>
  <si>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</si>
  <si>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</si>
  <si>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</si>
  <si>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</si>
  <si>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</si>
  <si>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</si>
  <si>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</si>
  <si>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</si>
  <si>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</si>
  <si>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</si>
  <si>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</si>
  <si>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</si>
  <si>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</si>
  <si>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</si>
  <si>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</si>
  <si>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</si>
  <si>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</si>
  <si>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</si>
  <si>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</si>
  <si>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</si>
  <si>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</si>
  <si>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</si>
  <si>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</si>
  <si>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</si>
  <si>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</si>
  <si>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</si>
  <si>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</si>
  <si>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</si>
  <si>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</si>
  <si>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</si>
  <si>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</si>
  <si>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</si>
  <si>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</si>
  <si>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</si>
  <si>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</si>
  <si>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</si>
  <si>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</si>
  <si>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</si>
  <si>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</si>
  <si>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</si>
  <si>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</si>
  <si>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</si>
  <si>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</si>
  <si>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</si>
  <si>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</si>
  <si>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</si>
  <si>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</si>
  <si>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</si>
  <si>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</si>
  <si>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</si>
  <si>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</si>
  <si>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</si>
  <si>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</si>
  <si>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</si>
  <si>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</si>
  <si>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</si>
  <si>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</si>
  <si>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</si>
  <si>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</si>
  <si>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</si>
  <si>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</si>
  <si>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</si>
  <si>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</si>
  <si>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</si>
  <si>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</si>
  <si>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</si>
  <si>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</si>
  <si>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</si>
  <si>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</si>
  <si>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</si>
  <si>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</si>
  <si>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</si>
  <si>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</si>
  <si>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</si>
  <si>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</si>
  <si>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</si>
  <si>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</si>
  <si>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</si>
  <si>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</si>
  <si>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</si>
  <si>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</si>
  <si>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</si>
  <si>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</si>
  <si>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</si>
  <si>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</si>
  <si>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</si>
  <si>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</si>
  <si>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</si>
  <si>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</si>
  <si>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</si>
  <si>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</si>
  <si>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</si>
  <si>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</si>
  <si>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</si>
  <si>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</si>
  <si>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</si>
  <si>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</si>
  <si>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</si>
  <si>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</si>
  <si>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</si>
  <si>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</si>
  <si>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</si>
  <si>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</si>
  <si>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</si>
  <si>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</si>
  <si>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</si>
  <si>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</si>
  <si>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</si>
  <si>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</si>
  <si>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</si>
  <si>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</si>
  <si>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</si>
  <si>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</si>
  <si>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</si>
  <si>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</si>
  <si>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</si>
  <si>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</si>
  <si>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</si>
  <si>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</si>
  <si>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</si>
  <si>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</si>
  <si>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</si>
  <si>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</si>
  <si>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</si>
  <si>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</si>
  <si>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</si>
  <si>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</si>
  <si>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</si>
  <si>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</si>
  <si>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</si>
  <si>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</si>
  <si>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</si>
  <si>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</si>
  <si>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</si>
  <si>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</si>
  <si>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</si>
  <si>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</si>
  <si>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</si>
  <si>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</si>
  <si>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</si>
  <si>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</si>
  <si>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</si>
  <si>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</si>
  <si>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</si>
  <si>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</si>
  <si>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</si>
  <si>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</si>
  <si>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</si>
  <si>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</si>
  <si>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</si>
  <si>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</si>
  <si>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</si>
  <si>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</si>
  <si>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</si>
  <si>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</si>
  <si>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</si>
  <si>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</si>
  <si>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</si>
  <si>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</si>
  <si>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</si>
  <si>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</si>
  <si>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</si>
  <si>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</si>
  <si>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</si>
  <si>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</si>
  <si>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</si>
  <si>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</si>
  <si>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</si>
  <si>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</si>
  <si>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</si>
  <si>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</si>
  <si>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</si>
  <si>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</si>
  <si>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</si>
  <si>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</si>
  <si>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</si>
  <si>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</si>
  <si>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</si>
  <si>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</si>
  <si>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</si>
  <si>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</si>
  <si>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</si>
  <si>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</si>
  <si>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</si>
  <si>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</si>
  <si>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</si>
  <si>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</si>
  <si>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</si>
  <si>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</si>
  <si>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</si>
  <si>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</si>
  <si>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</si>
  <si>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</si>
  <si>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</si>
  <si>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</si>
  <si>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</si>
  <si>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</si>
  <si>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</si>
  <si>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</si>
  <si>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</si>
  <si>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</si>
  <si>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</si>
  <si>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</si>
  <si>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</si>
  <si>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</si>
  <si>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</si>
  <si>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</si>
  <si>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</si>
  <si>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</si>
  <si>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</si>
  <si>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</si>
  <si>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</si>
  <si>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</si>
  <si>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</si>
  <si>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</si>
  <si>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</si>
  <si>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</si>
  <si>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</si>
  <si>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</si>
  <si>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</si>
  <si>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</si>
  <si>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</si>
  <si>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</si>
  <si>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</si>
  <si>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</si>
  <si>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</si>
  <si>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</si>
  <si>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</si>
  <si>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</si>
  <si>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</si>
  <si>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</si>
  <si>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</si>
  <si>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</si>
  <si>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</si>
  <si>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</si>
  <si>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</si>
  <si>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</si>
  <si>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</si>
  <si>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</si>
  <si>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</si>
  <si>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</si>
  <si>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</si>
  <si>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</si>
  <si>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</si>
  <si>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</si>
  <si>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</si>
  <si>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</si>
  <si>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</si>
  <si>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</si>
  <si>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</si>
  <si>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</si>
  <si>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</si>
  <si>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</si>
  <si>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</si>
  <si>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</si>
  <si>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</si>
  <si>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</si>
  <si>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</si>
  <si>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</si>
  <si>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</si>
  <si>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</si>
  <si>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</si>
  <si>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</si>
  <si>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</si>
  <si>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</si>
  <si>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</si>
  <si>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</si>
  <si>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</si>
  <si>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</si>
  <si>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</si>
  <si>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</si>
  <si>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</si>
  <si>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</si>
  <si>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</si>
  <si>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</si>
  <si>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</si>
  <si>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</si>
  <si>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</si>
  <si>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</si>
  <si>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</si>
  <si>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</si>
  <si>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</si>
  <si>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</si>
  <si>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</si>
  <si>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</si>
  <si>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</si>
  <si>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</si>
  <si>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</si>
  <si>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</si>
  <si>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</si>
  <si>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</si>
  <si>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</si>
  <si>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</si>
  <si>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</si>
  <si>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</si>
  <si>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</si>
  <si>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</si>
  <si>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</si>
  <si>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</si>
  <si>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</si>
  <si>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</si>
  <si>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</si>
  <si>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</si>
  <si>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</si>
  <si>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</si>
  <si>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</si>
  <si>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</si>
  <si>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</si>
  <si>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</si>
  <si>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</si>
  <si>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</si>
  <si>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</si>
  <si>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</si>
  <si>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</si>
  <si>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</si>
  <si>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</si>
  <si>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</si>
  <si>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</si>
  <si>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</si>
  <si>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</si>
  <si>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</si>
  <si>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</si>
  <si>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</si>
  <si>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</si>
  <si>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</si>
  <si>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</si>
  <si>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</si>
  <si>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</si>
  <si>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</si>
  <si>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</si>
  <si>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</si>
  <si>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</si>
  <si>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</si>
  <si>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</si>
  <si>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</si>
  <si>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</si>
  <si>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</si>
  <si>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</si>
  <si>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</si>
  <si>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</si>
  <si>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</si>
  <si>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</si>
  <si>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</si>
  <si>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</si>
  <si>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</si>
  <si>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</si>
  <si>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</si>
  <si>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</si>
  <si>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</si>
  <si>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</si>
  <si>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</si>
  <si>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</si>
  <si>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</si>
  <si>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</si>
  <si>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</si>
  <si>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</si>
  <si>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</si>
  <si>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</si>
  <si>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</si>
  <si>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</si>
  <si>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</si>
  <si>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</si>
  <si>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</si>
  <si>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</si>
  <si>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</si>
  <si>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</si>
  <si>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</si>
  <si>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</si>
  <si>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</si>
  <si>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</si>
  <si>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</si>
  <si>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</si>
  <si>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</si>
  <si>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</si>
  <si>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</si>
  <si>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</si>
  <si>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</si>
  <si>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</si>
  <si>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</si>
  <si>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</si>
  <si>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</si>
  <si>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</si>
  <si>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</si>
  <si>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</si>
  <si>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</si>
  <si>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</si>
  <si>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</si>
  <si>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</si>
  <si>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</si>
  <si>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</si>
  <si>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</si>
  <si>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</si>
  <si>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</si>
  <si>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</si>
  <si>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</si>
  <si>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</si>
  <si>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</si>
  <si>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</si>
  <si>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</si>
  <si>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</si>
  <si>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</si>
  <si>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</si>
  <si>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</si>
  <si>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</si>
  <si>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</si>
  <si>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</si>
  <si>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</si>
  <si>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</si>
  <si>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</si>
  <si>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</si>
  <si>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</si>
  <si>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</si>
  <si>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</si>
  <si>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</si>
  <si>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</si>
  <si>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</si>
  <si>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</si>
  <si>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</si>
  <si>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</si>
  <si>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</si>
  <si>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</si>
  <si>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</si>
  <si>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</si>
  <si>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</si>
  <si>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</si>
  <si>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</si>
  <si>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</si>
  <si>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</si>
  <si>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</si>
  <si>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</si>
  <si>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</si>
  <si>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</si>
  <si>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</si>
  <si>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</si>
  <si>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</si>
  <si>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</si>
  <si>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</si>
  <si>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</si>
  <si>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</si>
  <si>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</si>
  <si>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</si>
  <si>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</si>
  <si>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</si>
  <si>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</si>
  <si>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</si>
  <si>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</si>
  <si>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</si>
  <si>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</si>
  <si>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</si>
  <si>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</si>
  <si>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</si>
  <si>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</si>
  <si>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</si>
  <si>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</si>
  <si>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</si>
  <si>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</si>
  <si>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</si>
  <si>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</si>
  <si>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</si>
  <si>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</si>
  <si>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</si>
  <si>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</si>
  <si>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</si>
  <si>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</si>
  <si>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</si>
  <si>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</si>
  <si>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</si>
  <si>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</si>
  <si>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</si>
  <si>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</si>
  <si>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</si>
  <si>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</si>
  <si>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</si>
  <si>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</si>
  <si>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</si>
  <si>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</si>
  <si>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</si>
  <si>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</si>
  <si>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</si>
  <si>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</si>
  <si>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</si>
  <si>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</si>
  <si>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</si>
  <si>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</si>
  <si>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</si>
  <si>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</si>
  <si>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</si>
  <si>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</si>
  <si>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</si>
  <si>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</si>
  <si>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</si>
  <si>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</si>
  <si>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</si>
  <si>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</si>
  <si>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</si>
  <si>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</si>
  <si>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</si>
  <si>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</si>
  <si>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</si>
  <si>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</si>
  <si>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</si>
  <si>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</si>
  <si>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</si>
  <si>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</si>
  <si>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</si>
  <si>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</si>
  <si>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</si>
  <si>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</si>
  <si>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</si>
  <si>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</si>
  <si>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</si>
  <si>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</si>
  <si>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</si>
  <si>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</si>
  <si>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</si>
  <si>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</si>
  <si>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</si>
  <si>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</si>
  <si>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</si>
  <si>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</si>
  <si>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</si>
  <si>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</si>
  <si>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</si>
  <si>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</si>
  <si>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</si>
  <si>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</si>
  <si>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</si>
  <si>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</si>
  <si>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</si>
  <si>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</si>
  <si>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</si>
  <si>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</si>
  <si>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</si>
  <si>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</si>
  <si>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</si>
  <si>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</si>
  <si>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</si>
  <si>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</si>
  <si>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</si>
  <si>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</si>
  <si>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</si>
  <si>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</si>
  <si>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</si>
  <si>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</si>
  <si>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</si>
  <si>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</si>
  <si>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</si>
  <si>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</si>
  <si>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</si>
  <si>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</si>
  <si>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</si>
  <si>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</si>
  <si>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</si>
  <si>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</si>
  <si>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</si>
  <si>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</si>
  <si>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</si>
  <si>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</si>
  <si>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</si>
  <si>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</si>
  <si>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</si>
  <si>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</si>
  <si>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</si>
  <si>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</si>
  <si>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</si>
  <si>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</si>
  <si>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</si>
  <si>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</si>
  <si>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</si>
  <si>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</si>
  <si>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</si>
  <si>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</si>
  <si>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</si>
  <si>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</si>
  <si>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</si>
  <si>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</si>
  <si>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</si>
  <si>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</si>
  <si>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</si>
  <si>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</si>
  <si>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</si>
  <si>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</si>
  <si>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</si>
  <si>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</si>
  <si>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</si>
  <si>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</si>
  <si>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</si>
  <si>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</si>
  <si>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</si>
  <si>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</si>
  <si>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</si>
  <si>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</si>
  <si>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</si>
  <si>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</si>
  <si>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</si>
  <si>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</si>
  <si>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</si>
  <si>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</si>
  <si>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</si>
  <si>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</si>
  <si>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</si>
  <si>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</si>
  <si>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</si>
  <si>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</si>
  <si>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</si>
  <si>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</si>
  <si>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</si>
  <si>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</si>
  <si>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</si>
  <si>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</si>
  <si>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</si>
  <si>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</si>
  <si>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</si>
  <si>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</si>
  <si>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</si>
  <si>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</si>
  <si>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</si>
  <si>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</si>
  <si>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</si>
  <si>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</si>
  <si>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</si>
  <si>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</si>
  <si>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</si>
  <si>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</si>
  <si>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</si>
  <si>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</si>
  <si>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</si>
  <si>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</si>
  <si>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</si>
  <si>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</si>
  <si>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</si>
  <si>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</si>
  <si>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</si>
  <si>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</si>
  <si>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</si>
  <si>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</si>
  <si>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</si>
  <si>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</si>
  <si>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</si>
  <si>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</si>
  <si>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</si>
  <si>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</si>
  <si>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</si>
  <si>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</si>
  <si>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</si>
  <si>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</si>
  <si>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</si>
  <si>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</si>
  <si>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</si>
  <si>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</si>
  <si>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</si>
  <si>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</si>
  <si>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</si>
  <si>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</si>
  <si>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</si>
  <si>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</si>
  <si>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</si>
  <si>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</si>
  <si>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</si>
  <si>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</si>
  <si>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</si>
  <si>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</si>
  <si>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</si>
  <si>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</si>
  <si>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</si>
  <si>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</si>
  <si>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</si>
  <si>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</si>
  <si>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</si>
  <si>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</si>
  <si>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</si>
  <si>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</si>
  <si>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</si>
  <si>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</si>
  <si>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</si>
  <si>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</si>
  <si>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</si>
  <si>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</si>
  <si>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</si>
  <si>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</si>
  <si>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</si>
  <si>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</si>
  <si>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</si>
  <si>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</si>
  <si>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</si>
  <si>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</si>
  <si>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</si>
  <si>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</si>
  <si>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</si>
  <si>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</si>
  <si>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</si>
  <si>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</si>
  <si>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</si>
  <si>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</si>
  <si>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</si>
  <si>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</si>
  <si>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</si>
  <si>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</si>
  <si>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</si>
  <si>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</si>
  <si>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</si>
  <si>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</si>
  <si>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</si>
  <si>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</si>
  <si>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</si>
  <si>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</si>
  <si>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</si>
  <si>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</si>
  <si>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</si>
  <si>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</si>
  <si>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</si>
  <si>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</si>
  <si>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</si>
  <si>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</si>
  <si>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</si>
  <si>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</si>
  <si>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</si>
  <si>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</si>
  <si>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</si>
  <si>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</si>
  <si>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</si>
  <si>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</si>
  <si>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</si>
  <si>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</si>
  <si>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</si>
  <si>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</si>
  <si>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</si>
  <si>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</si>
  <si>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</si>
  <si>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</si>
  <si>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</si>
  <si>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</si>
  <si>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</si>
  <si>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</si>
  <si>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</si>
  <si>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</si>
  <si>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</si>
  <si>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</si>
  <si>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</si>
  <si>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</si>
  <si>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</si>
  <si>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</si>
  <si>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</si>
  <si>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</si>
  <si>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</si>
  <si>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</si>
  <si>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</si>
  <si>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</si>
  <si>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</si>
  <si>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</si>
  <si>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</si>
  <si>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</si>
  <si>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</si>
  <si>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</si>
  <si>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</si>
  <si>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</si>
  <si>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</si>
  <si>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</si>
  <si>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</si>
  <si>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</si>
  <si>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</si>
  <si>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</si>
  <si>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</si>
  <si>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</si>
  <si>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</si>
  <si>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</si>
  <si>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</si>
  <si>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</si>
  <si>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</si>
  <si>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</si>
  <si>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</si>
  <si>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</si>
  <si>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</si>
  <si>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</si>
  <si>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</si>
  <si>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</si>
  <si>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</si>
  <si>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</si>
  <si>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</si>
  <si>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</si>
  <si>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</si>
  <si>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</si>
  <si>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</si>
  <si>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</si>
  <si>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</si>
  <si>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</si>
  <si>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</si>
  <si>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</si>
  <si>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</si>
  <si>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</si>
  <si>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</si>
  <si>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</si>
  <si>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</si>
  <si>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</si>
  <si>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</si>
  <si>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</si>
  <si>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</si>
  <si>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</si>
  <si>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</si>
  <si>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</si>
  <si>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</si>
  <si>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</si>
  <si>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</si>
  <si>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</si>
  <si>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</si>
  <si>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</si>
  <si>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</si>
  <si>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</si>
  <si>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</si>
  <si>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</si>
  <si>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</si>
  <si>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</si>
  <si>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</si>
  <si>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</si>
  <si>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</si>
  <si>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</si>
  <si>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</si>
  <si>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</si>
  <si>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</si>
  <si>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</si>
  <si>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</si>
  <si>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</si>
  <si>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</si>
  <si>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</si>
  <si>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</si>
  <si>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</si>
  <si>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</si>
  <si>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</si>
  <si>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</si>
  <si>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</si>
  <si>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</si>
  <si>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</si>
  <si>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</si>
  <si>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</si>
  <si>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</si>
  <si>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</si>
  <si>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</si>
  <si>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</si>
  <si>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</si>
  <si>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</si>
  <si>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</si>
  <si>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</si>
  <si>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</si>
  <si>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</si>
  <si>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</si>
  <si>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</si>
  <si>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</si>
  <si>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</si>
  <si>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</si>
  <si>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</si>
  <si>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</si>
  <si>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</si>
  <si>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</si>
  <si>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</si>
  <si>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</si>
  <si>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</si>
  <si>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</si>
  <si>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</si>
  <si>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</si>
  <si>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</si>
  <si>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</si>
  <si>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</si>
  <si>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</si>
  <si>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</si>
  <si>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</si>
  <si>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</si>
  <si>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</si>
  <si>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</si>
  <si>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</si>
  <si>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</si>
  <si>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</si>
  <si>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</si>
  <si>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</si>
  <si>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</si>
  <si>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</si>
  <si>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</si>
  <si>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</si>
  <si>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</si>
  <si>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</si>
  <si>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</si>
  <si>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</si>
  <si>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</si>
  <si>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</si>
  <si>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</si>
  <si>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</si>
  <si>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</si>
  <si>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</si>
  <si>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</si>
  <si>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</si>
  <si>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</si>
  <si>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</si>
  <si>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</si>
  <si>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</si>
  <si>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</si>
  <si>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</si>
  <si>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</si>
  <si>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</si>
  <si>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</si>
  <si>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</si>
  <si>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</si>
  <si>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</si>
  <si>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</si>
  <si>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</si>
  <si>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</si>
  <si>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</si>
  <si>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</si>
  <si>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</si>
  <si>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</si>
  <si>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</si>
  <si>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</si>
  <si>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</si>
  <si>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</si>
  <si>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</si>
  <si>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</si>
  <si>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</si>
  <si>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</si>
  <si>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</si>
  <si>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</si>
  <si>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</si>
  <si>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</si>
  <si>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</si>
  <si>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</si>
  <si>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</si>
  <si>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</si>
  <si>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</si>
  <si>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</si>
  <si>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</si>
  <si>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</si>
  <si>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</si>
  <si>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</si>
  <si>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</si>
  <si>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</si>
  <si>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</si>
  <si>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</si>
  <si>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</si>
  <si>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</si>
  <si>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</si>
  <si>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</si>
  <si>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</si>
  <si>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</si>
  <si>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</si>
  <si>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</si>
  <si>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</si>
  <si>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</si>
  <si>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</si>
  <si>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</si>
  <si>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</si>
  <si>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</si>
  <si>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</si>
  <si>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</si>
  <si>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</si>
  <si>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</si>
  <si>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</si>
  <si>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</si>
  <si>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</si>
  <si>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</si>
  <si>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</si>
  <si>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</si>
  <si>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</si>
  <si>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</si>
  <si>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</si>
  <si>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</si>
  <si>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</si>
  <si>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</si>
  <si>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</si>
  <si>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</si>
  <si>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</si>
  <si>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</si>
  <si>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</si>
  <si>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</si>
  <si>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</si>
  <si>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</si>
  <si>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</si>
  <si>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</si>
  <si>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</si>
  <si>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</si>
  <si>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</si>
  <si>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</si>
  <si>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</si>
  <si>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</si>
  <si>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</si>
  <si>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</si>
  <si>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</si>
  <si>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</si>
  <si>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</si>
  <si>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</si>
  <si>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</si>
  <si>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</si>
  <si>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</si>
  <si>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</si>
  <si>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</si>
  <si>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</si>
  <si>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</si>
  <si>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</si>
  <si>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</si>
  <si>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</si>
  <si>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</si>
  <si>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</si>
  <si>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</si>
  <si>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</si>
  <si>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</si>
  <si>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</si>
  <si>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</si>
  <si>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</si>
  <si>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</si>
  <si>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</si>
  <si>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</si>
  <si>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</si>
  <si>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</si>
  <si>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</si>
  <si>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</si>
  <si>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</si>
  <si>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</si>
  <si>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</si>
  <si>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</si>
  <si>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</si>
  <si>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</si>
  <si>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</si>
  <si>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</si>
  <si>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</si>
  <si>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</si>
  <si>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</si>
  <si>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</si>
  <si>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</si>
  <si>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</si>
  <si>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</si>
  <si>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</si>
  <si>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</si>
  <si>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</si>
  <si>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</si>
  <si>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</si>
  <si>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</si>
  <si>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</si>
  <si>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</si>
  <si>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</si>
  <si>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</si>
  <si>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</si>
  <si>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</si>
  <si>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</si>
  <si>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</si>
  <si>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</si>
  <si>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</si>
  <si>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</si>
  <si>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</si>
  <si>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</si>
  <si>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</si>
  <si>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</si>
  <si>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</si>
  <si>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</si>
  <si>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</si>
  <si>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</si>
  <si>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</si>
  <si>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</si>
  <si>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</si>
  <si>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</si>
  <si>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</si>
  <si>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</si>
  <si>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</si>
  <si>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</si>
  <si>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</si>
  <si>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</si>
  <si>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</si>
  <si>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</si>
  <si>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</si>
  <si>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</si>
  <si>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</si>
  <si>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</si>
  <si>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</si>
  <si>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</si>
  <si>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</si>
  <si>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</si>
  <si>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</si>
  <si>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</si>
  <si>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</si>
  <si>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</si>
  <si>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</si>
  <si>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</si>
  <si>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</si>
  <si>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</si>
  <si>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</si>
  <si>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</si>
  <si>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</si>
  <si>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</si>
  <si>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</si>
  <si>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</si>
  <si>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</si>
  <si>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</si>
  <si>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</si>
  <si>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</si>
  <si>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</si>
  <si>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</si>
  <si>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</si>
  <si>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</si>
  <si>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</si>
  <si>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</si>
  <si>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</si>
  <si>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</si>
  <si>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</si>
  <si>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</si>
  <si>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</si>
  <si>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</si>
  <si>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</si>
  <si>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</si>
  <si>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</si>
  <si>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</si>
  <si>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</si>
  <si>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</si>
  <si>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</si>
  <si>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</si>
  <si>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</si>
  <si>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</si>
  <si>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</si>
  <si>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</si>
  <si>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</si>
  <si>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</si>
  <si>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</si>
  <si>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</si>
  <si>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</si>
  <si>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</si>
  <si>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</si>
  <si>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</si>
  <si>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</si>
  <si>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</si>
  <si>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</si>
  <si>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</si>
  <si>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</si>
  <si>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</si>
  <si>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</si>
  <si>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</si>
  <si>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</si>
  <si>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</si>
  <si>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</si>
  <si>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</si>
  <si>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</si>
  <si>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</si>
  <si>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</si>
  <si>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</si>
  <si>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</si>
  <si>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</si>
  <si>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</si>
  <si>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</si>
  <si>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</si>
  <si>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</si>
  <si>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</si>
  <si>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</si>
  <si>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</si>
  <si>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</si>
  <si>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</si>
  <si>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</si>
  <si>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</si>
  <si>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</si>
  <si>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</si>
  <si>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</si>
  <si>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</si>
  <si>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</si>
  <si>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</si>
  <si>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</si>
  <si>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</si>
  <si>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</si>
  <si>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</si>
  <si>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</si>
  <si>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</si>
  <si>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</si>
  <si>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</si>
  <si>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</si>
  <si>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</si>
  <si>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</si>
  <si>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</si>
  <si>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</si>
  <si>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</si>
  <si>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</si>
  <si>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</si>
  <si>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</si>
  <si>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</si>
  <si>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</si>
  <si>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</si>
  <si>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</si>
  <si>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</si>
  <si>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</si>
  <si>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</si>
  <si>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</si>
  <si>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</si>
  <si>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</si>
  <si>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</si>
  <si>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</si>
  <si>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</si>
  <si>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</si>
  <si>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</si>
  <si>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</si>
  <si>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</si>
  <si>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</si>
  <si>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</si>
  <si>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</si>
  <si>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</si>
  <si>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</si>
  <si>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</si>
  <si>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</si>
  <si>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</si>
  <si>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</si>
  <si>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</si>
  <si>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</si>
  <si>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</si>
  <si>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</si>
  <si>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</si>
  <si>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</si>
  <si>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</si>
  <si>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</si>
  <si>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</si>
  <si>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</si>
  <si>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</si>
  <si>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</si>
  <si>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</si>
  <si>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</si>
  <si>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</si>
  <si>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</si>
  <si>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</si>
  <si>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</si>
  <si>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</si>
  <si>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</si>
  <si>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</si>
  <si>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</si>
  <si>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</si>
  <si>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</si>
  <si>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</si>
  <si>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</si>
  <si>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</si>
  <si>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</si>
  <si>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</si>
  <si>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</si>
  <si>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</si>
  <si>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</si>
  <si>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</si>
  <si>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</si>
  <si>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</si>
  <si>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</si>
  <si>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</si>
  <si>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</si>
  <si>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</si>
  <si>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</si>
  <si>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</si>
  <si>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</si>
  <si>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</si>
  <si>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</si>
  <si>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</si>
  <si>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</si>
  <si>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</si>
  <si>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</si>
  <si>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</si>
  <si>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</si>
  <si>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</si>
  <si>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</si>
  <si>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</si>
  <si>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</si>
  <si>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</si>
  <si>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</si>
  <si>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</si>
  <si>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</si>
  <si>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</si>
  <si>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</si>
  <si>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</si>
  <si>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</si>
  <si>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</si>
  <si>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</si>
  <si>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</si>
  <si>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</si>
  <si>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</si>
  <si>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</si>
  <si>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</si>
  <si>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</si>
  <si>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</si>
  <si>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</si>
  <si>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</si>
  <si>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</si>
  <si>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</si>
  <si>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</si>
  <si>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</si>
  <si>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</si>
  <si>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</si>
  <si>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</si>
  <si>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</si>
  <si>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</si>
  <si>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</si>
  <si>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</si>
  <si>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</si>
  <si>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</si>
  <si>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</si>
  <si>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</si>
  <si>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</si>
  <si>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</si>
  <si>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</si>
  <si>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</si>
  <si>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</si>
  <si>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</si>
  <si>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</si>
  <si>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</si>
  <si>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</si>
  <si>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</si>
  <si>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</si>
  <si>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</si>
  <si>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</si>
  <si>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</si>
  <si>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</si>
  <si>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</si>
  <si>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</si>
  <si>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</si>
  <si>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</si>
  <si>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</si>
  <si>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</si>
  <si>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</si>
  <si>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</si>
  <si>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</si>
  <si>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</si>
  <si>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</si>
  <si>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</si>
  <si>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</si>
  <si>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</si>
  <si>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</si>
  <si>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</si>
  <si>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</si>
  <si>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</si>
  <si>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</si>
  <si>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</si>
  <si>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</si>
  <si>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</si>
  <si>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</si>
  <si>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</si>
  <si>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</si>
  <si>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</si>
  <si>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</si>
  <si>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</si>
  <si>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</si>
  <si>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</si>
  <si>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</si>
  <si>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</si>
  <si>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</si>
  <si>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</si>
  <si>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</si>
  <si>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</si>
  <si>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</si>
  <si>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</si>
  <si>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</si>
  <si>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</si>
  <si>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</si>
  <si>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</si>
  <si>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</si>
  <si>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</si>
  <si>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</si>
  <si>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</si>
  <si>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</si>
  <si>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</si>
  <si>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</si>
  <si>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</si>
  <si>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</si>
  <si>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</si>
  <si>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</si>
  <si>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</si>
  <si>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</si>
  <si>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</si>
  <si>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</si>
  <si>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</si>
  <si>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</si>
  <si>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</si>
  <si>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</si>
  <si>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</si>
  <si>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</si>
  <si>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</si>
  <si>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</si>
  <si>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</si>
  <si>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</si>
  <si>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</si>
  <si>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</si>
  <si>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</si>
  <si>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</si>
  <si>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</si>
  <si>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</si>
  <si>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</si>
  <si>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</si>
  <si>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</si>
  <si>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</si>
  <si>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</si>
  <si>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</si>
  <si>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</si>
  <si>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</si>
  <si>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</si>
  <si>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</si>
  <si>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</si>
  <si>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</si>
  <si>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</si>
  <si>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</si>
  <si>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</si>
  <si>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</si>
  <si>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</si>
  <si>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</si>
  <si>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</si>
  <si>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</si>
  <si>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</si>
  <si>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</si>
  <si>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</si>
  <si>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</si>
  <si>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</si>
  <si>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</si>
  <si>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</si>
  <si>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</si>
  <si>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</si>
  <si>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</si>
  <si>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</si>
  <si>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</si>
  <si>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</si>
  <si>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</si>
  <si>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</si>
  <si>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</si>
  <si>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</si>
  <si>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</si>
  <si>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</si>
  <si>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</si>
  <si>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</si>
  <si>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</si>
  <si>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</si>
  <si>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</si>
  <si>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</si>
  <si>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</si>
  <si>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</si>
  <si>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</si>
  <si>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</si>
  <si>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</si>
  <si>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</si>
  <si>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</si>
  <si>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</si>
  <si>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</si>
  <si>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</si>
  <si>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</si>
  <si>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</si>
  <si>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</si>
  <si>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</si>
  <si>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</si>
  <si>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</si>
  <si>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</si>
  <si>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</si>
  <si>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</si>
  <si>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</si>
  <si>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</si>
  <si>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</si>
  <si>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</si>
  <si>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</si>
  <si>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</si>
  <si>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</si>
  <si>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</si>
  <si>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</si>
  <si>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</si>
  <si>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</si>
  <si>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</si>
  <si>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</si>
  <si>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</si>
  <si>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</si>
  <si>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</si>
  <si>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</si>
  <si>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</si>
  <si>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</si>
  <si>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</si>
  <si>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</si>
  <si>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</si>
  <si>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</si>
  <si>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</si>
  <si>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</si>
  <si>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</si>
  <si>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</si>
  <si>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</si>
  <si>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</si>
  <si>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</si>
  <si>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</si>
  <si>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</si>
  <si>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</si>
  <si>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</si>
  <si>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</si>
  <si>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</si>
  <si>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</si>
  <si>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</si>
  <si>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</si>
  <si>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</si>
  <si>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</si>
  <si>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</si>
  <si>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</si>
  <si>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</si>
  <si>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</si>
  <si>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</si>
  <si>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</si>
  <si>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</si>
  <si>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</si>
  <si>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</si>
  <si>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</si>
  <si>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</si>
  <si>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</si>
  <si>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</si>
  <si>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</si>
  <si>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</si>
  <si>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</si>
  <si>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</si>
  <si>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</si>
  <si>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</si>
  <si>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</si>
  <si>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</si>
  <si>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</si>
  <si>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</si>
  <si>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</si>
  <si>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</si>
  <si>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</si>
  <si>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</si>
  <si>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</si>
  <si>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</si>
  <si>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</si>
  <si>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</si>
  <si>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</si>
  <si>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</si>
  <si>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</si>
  <si>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</si>
  <si>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</si>
  <si>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</si>
  <si>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</si>
  <si>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</si>
  <si>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</si>
  <si>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</si>
  <si>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</si>
  <si>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</si>
  <si>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</si>
  <si>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</si>
  <si>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</si>
  <si>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</si>
  <si>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</si>
  <si>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</si>
  <si>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</si>
  <si>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</si>
  <si>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</si>
  <si>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</si>
  <si>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</si>
  <si>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</si>
  <si>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</si>
  <si>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</si>
  <si>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</si>
  <si>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</si>
  <si>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</si>
  <si>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</si>
  <si>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</si>
  <si>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</si>
  <si>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</si>
  <si>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</si>
  <si>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</si>
  <si>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</si>
  <si>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</si>
  <si>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</si>
  <si>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</si>
  <si>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</si>
  <si>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</si>
  <si>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</si>
  <si>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</si>
  <si>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</si>
  <si>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</si>
  <si>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</si>
  <si>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</si>
  <si>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</si>
  <si>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</si>
  <si>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</si>
  <si>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</si>
  <si>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</si>
  <si>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</si>
  <si>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</si>
  <si>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</si>
  <si>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</si>
  <si>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</si>
  <si>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</si>
  <si>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</si>
  <si>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</si>
  <si>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</si>
  <si>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</si>
  <si>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</si>
  <si>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</si>
  <si>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</si>
  <si>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</si>
  <si>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</si>
  <si>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</si>
  <si>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</si>
  <si>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</si>
  <si>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</si>
  <si>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</si>
  <si>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</si>
  <si>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</si>
  <si>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</si>
  <si>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</si>
  <si>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</si>
  <si>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</si>
  <si>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</si>
  <si>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</si>
  <si>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</si>
  <si>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</si>
  <si>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</si>
  <si>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</si>
  <si>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</si>
  <si>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</si>
  <si>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</si>
  <si>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</si>
  <si>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</si>
  <si>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</si>
  <si>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</si>
  <si>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</si>
  <si>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</si>
  <si>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</si>
  <si>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</si>
  <si>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</si>
  <si>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</si>
  <si>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</si>
  <si>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</si>
  <si>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</si>
  <si>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</si>
  <si>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</si>
  <si>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</si>
  <si>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</si>
  <si>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</si>
  <si>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</si>
  <si>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</si>
  <si>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</si>
  <si>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</si>
  <si>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</si>
  <si>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</si>
  <si>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</si>
  <si>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</si>
  <si>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</si>
  <si>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</si>
  <si>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</si>
  <si>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</si>
  <si>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</si>
  <si>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</si>
  <si>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</si>
  <si>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</si>
  <si>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</si>
  <si>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</si>
  <si>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</si>
  <si>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</si>
  <si>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</si>
  <si>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</si>
  <si>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</si>
  <si>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</si>
  <si>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</si>
  <si>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</si>
  <si>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</si>
  <si>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</si>
  <si>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</si>
  <si>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</si>
  <si>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</si>
  <si>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</si>
  <si>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</si>
  <si>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</si>
  <si>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</si>
  <si>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</si>
  <si>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</si>
  <si>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</si>
  <si>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</si>
  <si>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</si>
  <si>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</si>
  <si>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</si>
  <si>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</si>
  <si>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</si>
  <si>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</si>
  <si>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</si>
  <si>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</si>
  <si>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</si>
  <si>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</si>
  <si>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</si>
  <si>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</si>
  <si>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</si>
  <si>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</si>
  <si>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</si>
  <si>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</si>
  <si>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</si>
  <si>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</si>
  <si>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</si>
  <si>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</si>
  <si>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</si>
  <si>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</si>
  <si>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</si>
  <si>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</si>
  <si>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</si>
  <si>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</si>
  <si>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</si>
  <si>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</si>
  <si>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</si>
  <si>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</si>
  <si>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</si>
  <si>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</si>
  <si>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</si>
  <si>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</si>
  <si>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</si>
  <si>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</si>
  <si>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</si>
  <si>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</si>
  <si>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</si>
  <si>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</si>
  <si>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</si>
  <si>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</si>
  <si>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</si>
  <si>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</si>
  <si>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</si>
  <si>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</si>
  <si>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</si>
  <si>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</si>
  <si>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</si>
  <si>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</si>
  <si>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</si>
  <si>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</si>
  <si>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</si>
  <si>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</si>
  <si>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</si>
  <si>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</si>
  <si>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</si>
  <si>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</si>
  <si>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</si>
  <si>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</si>
  <si>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</si>
  <si>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</si>
  <si>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</si>
  <si>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</si>
  <si>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</si>
  <si>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</si>
  <si>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</si>
  <si>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</si>
  <si>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</si>
  <si>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</si>
  <si>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</si>
  <si>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</si>
  <si>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</si>
  <si>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</si>
  <si>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</si>
  <si>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</si>
  <si>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</si>
  <si>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</si>
  <si>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</si>
  <si>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</si>
  <si>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</si>
  <si>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</si>
  <si>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</si>
  <si>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</si>
  <si>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</si>
  <si>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</si>
  <si>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</si>
  <si>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</si>
  <si>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</si>
  <si>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</si>
  <si>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</si>
  <si>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</si>
  <si>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</si>
  <si>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</si>
  <si>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</si>
  <si>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</si>
  <si>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</si>
  <si>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</si>
  <si>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</si>
  <si>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</si>
  <si>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</si>
  <si>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</si>
  <si>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</si>
  <si>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</si>
  <si>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</si>
  <si>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</si>
  <si>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</si>
  <si>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</si>
  <si>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</si>
  <si>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</si>
  <si>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</si>
  <si>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</si>
  <si>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</si>
  <si>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</si>
  <si>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</si>
  <si>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</si>
  <si>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</si>
  <si>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</si>
  <si>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</si>
  <si>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</si>
  <si>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</si>
  <si>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</si>
  <si>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</si>
  <si>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</si>
  <si>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</si>
  <si>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</si>
  <si>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</si>
  <si>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</si>
  <si>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</si>
  <si>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</si>
  <si>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</si>
  <si>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</si>
  <si>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</si>
  <si>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</si>
  <si>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</si>
  <si>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</si>
  <si>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</si>
  <si>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</si>
  <si>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</si>
  <si>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</si>
  <si>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</si>
  <si>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</si>
  <si>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</si>
  <si>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</si>
  <si>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</si>
  <si>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</si>
  <si>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</si>
  <si>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</si>
  <si>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</si>
  <si>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</si>
  <si>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</si>
  <si>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</si>
  <si>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</si>
  <si>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</si>
  <si>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</si>
  <si>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</si>
  <si>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</si>
  <si>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</si>
  <si>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</si>
  <si>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</si>
  <si>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</si>
  <si>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</si>
  <si>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</si>
  <si>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</si>
  <si>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</si>
  <si>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</si>
  <si>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</si>
  <si>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</si>
  <si>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</si>
  <si>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</si>
  <si>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</si>
  <si>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</si>
  <si>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</si>
  <si>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</si>
  <si>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</si>
  <si>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</si>
  <si>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</si>
  <si>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</si>
  <si>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</si>
  <si>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</si>
  <si>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</si>
  <si>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</si>
  <si>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</si>
  <si>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</si>
  <si>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</si>
  <si>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</si>
  <si>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</si>
  <si>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</si>
  <si>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</si>
  <si>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</si>
  <si>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</si>
  <si>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</si>
  <si>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</si>
  <si>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</si>
  <si>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</si>
  <si>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</si>
  <si>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</si>
  <si>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</si>
  <si>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</si>
  <si>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</si>
  <si>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</si>
  <si>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</si>
  <si>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</si>
  <si>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</si>
  <si>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</si>
  <si>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</si>
  <si>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</si>
  <si>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</si>
  <si>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</si>
  <si>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</si>
  <si>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</si>
  <si>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</si>
  <si>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</si>
  <si>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</si>
  <si>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</si>
  <si>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</si>
  <si>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</si>
  <si>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</si>
  <si>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</si>
  <si>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</si>
  <si>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</si>
  <si>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</si>
  <si>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</si>
  <si>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</si>
  <si>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</si>
  <si>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</si>
  <si>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</si>
  <si>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</si>
  <si>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</si>
  <si>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</si>
  <si>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</si>
  <si>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</si>
  <si>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</si>
  <si>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</si>
  <si>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</si>
  <si>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</si>
  <si>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</si>
  <si>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</si>
  <si>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</si>
  <si>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</si>
  <si>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</si>
  <si>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</si>
  <si>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</si>
  <si>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</si>
  <si>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</si>
  <si>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</si>
  <si>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</si>
  <si>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</si>
  <si>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</si>
  <si>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</si>
  <si>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</si>
  <si>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</si>
  <si>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</si>
  <si>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</si>
  <si>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</si>
  <si>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</si>
  <si>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</si>
  <si>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</si>
  <si>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</si>
  <si>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</si>
  <si>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</si>
  <si>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</si>
  <si>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</si>
  <si>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</si>
  <si>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</si>
  <si>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</si>
  <si>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</si>
  <si>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</si>
  <si>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</si>
  <si>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</si>
  <si>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</si>
  <si>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</si>
  <si>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</si>
  <si>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</si>
  <si>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</si>
  <si>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</si>
  <si>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</si>
  <si>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</si>
  <si>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</si>
  <si>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</si>
  <si>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</si>
  <si>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</si>
  <si>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</si>
  <si>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</si>
  <si>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</si>
  <si>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</si>
  <si>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</si>
  <si>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</si>
  <si>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</si>
  <si>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</si>
  <si>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</si>
  <si>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</si>
  <si>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</si>
  <si>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</si>
  <si>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</si>
  <si>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</si>
  <si>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</si>
  <si>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</si>
  <si>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</si>
  <si>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</si>
  <si>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</si>
  <si>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</si>
  <si>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</si>
  <si>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</si>
  <si>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</si>
  <si>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</si>
  <si>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</si>
  <si>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</si>
  <si>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</si>
  <si>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</si>
  <si>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</si>
  <si>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</si>
  <si>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</si>
  <si>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</si>
  <si>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</si>
  <si>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</si>
  <si>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</si>
  <si>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</si>
  <si>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</si>
  <si>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</si>
  <si>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</si>
  <si>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</si>
  <si>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</si>
  <si>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</si>
  <si>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</si>
  <si>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</si>
  <si>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</si>
  <si>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</si>
  <si>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</si>
  <si>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</si>
  <si>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</si>
  <si>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</si>
  <si>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</si>
  <si>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</si>
  <si>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</si>
  <si>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</si>
  <si>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</si>
  <si>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</si>
  <si>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</si>
  <si>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</si>
  <si>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</si>
  <si>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</si>
  <si>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</si>
  <si>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</si>
  <si>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</si>
  <si>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</si>
  <si>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</si>
  <si>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</si>
  <si>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</si>
  <si>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</si>
  <si>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</si>
  <si>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</si>
  <si>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</si>
  <si>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</si>
  <si>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</si>
  <si>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</si>
  <si>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</si>
  <si>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</si>
  <si>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</si>
  <si>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</si>
  <si>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</si>
  <si>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</si>
  <si>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</si>
  <si>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</si>
  <si>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</si>
  <si>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</si>
  <si>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</si>
  <si>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</si>
  <si>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</si>
  <si>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</si>
  <si>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</si>
  <si>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</si>
  <si>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</si>
  <si>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</si>
  <si>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</si>
  <si>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</si>
  <si>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</si>
  <si>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</si>
  <si>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</si>
  <si>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</si>
  <si>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</si>
  <si>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</si>
  <si>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</si>
  <si>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</si>
  <si>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</si>
  <si>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</si>
  <si>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</si>
  <si>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</si>
  <si>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</si>
  <si>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</si>
  <si>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</si>
  <si>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</si>
  <si>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</si>
  <si>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</si>
  <si>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</si>
  <si>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</si>
  <si>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</si>
  <si>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</si>
  <si>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</si>
  <si>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</si>
  <si>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</si>
  <si>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</si>
  <si>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</si>
  <si>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</si>
  <si>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</si>
  <si>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</si>
  <si>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</si>
  <si>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</si>
  <si>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</si>
  <si>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</si>
  <si>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</si>
  <si>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</si>
  <si>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</si>
  <si>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</si>
  <si>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</si>
  <si>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</si>
  <si>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</si>
  <si>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</si>
  <si>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</si>
  <si>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</si>
  <si>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</si>
  <si>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</si>
  <si>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</si>
  <si>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</si>
  <si>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</si>
  <si>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</si>
  <si>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</si>
  <si>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</si>
  <si>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</si>
  <si>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</si>
  <si>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</si>
  <si>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</si>
  <si>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</si>
  <si>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</si>
  <si>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</si>
  <si>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</si>
  <si>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</si>
  <si>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</si>
  <si>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</si>
  <si>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</si>
  <si>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</si>
  <si>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</si>
  <si>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</si>
  <si>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</si>
  <si>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</si>
  <si>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</si>
  <si>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</si>
  <si>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</si>
  <si>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</si>
  <si>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</si>
  <si>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</si>
  <si>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</si>
  <si>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</si>
  <si>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</si>
  <si>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</si>
  <si>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</si>
  <si>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</si>
  <si>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</si>
  <si>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</si>
  <si>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</si>
  <si>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</si>
  <si>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</si>
  <si>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</si>
  <si>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</si>
  <si>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</si>
  <si>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</si>
  <si>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</si>
  <si>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</si>
  <si>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</si>
  <si>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</si>
  <si>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</si>
  <si>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</si>
  <si>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</si>
  <si>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</si>
  <si>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</si>
  <si>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</si>
  <si>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</si>
  <si>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</si>
  <si>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</si>
  <si>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</si>
  <si>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</si>
  <si>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</si>
  <si>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</si>
  <si>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</si>
  <si>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</si>
  <si>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</si>
  <si>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</si>
  <si>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</si>
  <si>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</si>
  <si>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</si>
  <si>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</si>
  <si>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</si>
  <si>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</si>
  <si>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</si>
  <si>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</si>
  <si>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</si>
  <si>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</si>
  <si>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</si>
  <si>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</si>
  <si>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</si>
  <si>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</si>
  <si>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</si>
  <si>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</si>
  <si>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</si>
  <si>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</si>
  <si>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</si>
  <si>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</si>
  <si>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</si>
  <si>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</si>
  <si>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</si>
  <si>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</si>
  <si>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</si>
  <si>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</si>
  <si>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</si>
  <si>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</si>
  <si>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</si>
  <si>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</si>
  <si>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</si>
  <si>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</si>
  <si>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</si>
  <si>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</si>
  <si>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</si>
  <si>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</si>
  <si>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</si>
  <si>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</si>
  <si>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</si>
  <si>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</si>
  <si>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</si>
  <si>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</si>
  <si>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</si>
  <si>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</si>
  <si>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</si>
  <si>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</si>
  <si>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</si>
  <si>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</si>
  <si>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</si>
  <si>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</si>
  <si>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</si>
  <si>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</si>
  <si>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</si>
  <si>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</si>
  <si>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</si>
  <si>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</si>
  <si>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</si>
  <si>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</si>
  <si>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</si>
  <si>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</si>
  <si>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</si>
  <si>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</si>
  <si>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</si>
  <si>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</si>
  <si>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</si>
  <si>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</si>
  <si>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</si>
  <si>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</si>
  <si>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</si>
  <si>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</si>
  <si>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</si>
  <si>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پارس 50 تا 5550.1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</si>
  <si>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</si>
  <si>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</si>
  <si>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</si>
  <si>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</si>
  <si>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</si>
  <si>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</si>
  <si>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</si>
  <si>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</si>
  <si>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</si>
  <si>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</si>
  <si>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</si>
  <si>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</si>
  <si>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</si>
  <si>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</si>
  <si>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</si>
  <si>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</si>
  <si>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</si>
  <si>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</si>
  <si>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</si>
  <si>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</si>
  <si>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</si>
  <si>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</si>
  <si>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</si>
  <si>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</si>
  <si>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</si>
  <si>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</si>
  <si>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</si>
  <si>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</si>
  <si>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</si>
  <si>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</si>
  <si>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بدهی به داریوش 23/8/98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</si>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</sst>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5350</v>
      </c>
      <c r="P49" s="18">
        <v>-50000</v>
      </c>
      <c r="Q49" s="99">
        <v>3</v>
      </c>
      <c r="R49" s="99"/>
      <c r="S49" s="96"/>
      <c r="T49" s="96"/>
    </row>
    <row r="50" spans="1:20">
      <c r="A50" s="96"/>
      <c r="B50" s="96"/>
      <c r="E50" s="96"/>
      <c r="F50" s="96"/>
      <c r="O50" s="99" t="s">
        <v>5356</v>
      </c>
      <c r="P50" s="18">
        <v>-1683146</v>
      </c>
      <c r="Q50" s="99">
        <v>10</v>
      </c>
      <c r="R50" s="99"/>
      <c r="S50" s="96"/>
      <c r="T50" s="96"/>
    </row>
    <row r="51" spans="1:20">
      <c r="A51" s="96"/>
      <c r="B51" s="96"/>
      <c r="E51" s="96"/>
      <c r="F51" s="96"/>
      <c r="O51" s="99" t="s">
        <v>5381</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5355</v>
      </c>
      <c r="I95" t="s">
        <v>25</v>
      </c>
    </row>
    <row r="96" spans="1:21">
      <c r="D96" s="18">
        <v>-230000</v>
      </c>
      <c r="E96" s="255" t="s">
        <v>5370</v>
      </c>
    </row>
    <row r="97" spans="4:10">
      <c r="D97" s="18">
        <v>-168950</v>
      </c>
      <c r="E97" s="255" t="s">
        <v>4402</v>
      </c>
      <c r="J97" t="s">
        <v>25</v>
      </c>
    </row>
    <row r="98" spans="4:10">
      <c r="D98" s="18">
        <v>-250000</v>
      </c>
      <c r="E98" s="255" t="s">
        <v>5385</v>
      </c>
    </row>
    <row r="99" spans="4:10">
      <c r="D99" s="18"/>
      <c r="E99" s="96"/>
    </row>
    <row r="100" spans="4:10">
      <c r="D100" s="18"/>
      <c r="E100" s="96" t="s">
        <v>25</v>
      </c>
    </row>
    <row r="101" spans="4:10">
      <c r="D101" s="18">
        <f>SUM(D40:D100)</f>
        <v>27631459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5182</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5180</v>
      </c>
      <c r="B305" s="113">
        <v>-63857</v>
      </c>
      <c r="C305" s="99">
        <v>0</v>
      </c>
      <c r="D305" s="99">
        <f t="shared" si="15"/>
        <v>69</v>
      </c>
      <c r="E305" s="99">
        <f t="shared" si="16"/>
        <v>0</v>
      </c>
      <c r="F305" s="99">
        <f t="shared" si="9"/>
        <v>-4406133</v>
      </c>
      <c r="G305" s="99"/>
    </row>
    <row r="306" spans="1:11">
      <c r="A306" s="99" t="s">
        <v>5183</v>
      </c>
      <c r="B306" s="113">
        <v>-631</v>
      </c>
      <c r="C306" s="99">
        <v>2</v>
      </c>
      <c r="D306" s="99">
        <f t="shared" si="15"/>
        <v>69</v>
      </c>
      <c r="E306" s="99">
        <f t="shared" si="16"/>
        <v>0</v>
      </c>
      <c r="F306" s="99">
        <f t="shared" si="9"/>
        <v>-43539</v>
      </c>
      <c r="G306" s="99" t="s">
        <v>506</v>
      </c>
      <c r="J306" t="s">
        <v>25</v>
      </c>
    </row>
    <row r="307" spans="1:11">
      <c r="A307" s="99" t="s">
        <v>5188</v>
      </c>
      <c r="B307" s="113">
        <v>-248905</v>
      </c>
      <c r="C307" s="99">
        <v>2</v>
      </c>
      <c r="D307" s="99">
        <f t="shared" ref="D307:D318" si="17">D308+C307</f>
        <v>67</v>
      </c>
      <c r="E307" s="99">
        <f t="shared" ref="E307:E318" si="18">IF(B308&gt;0,1,0)</f>
        <v>0</v>
      </c>
      <c r="F307" s="99">
        <f t="shared" si="9"/>
        <v>-16676635</v>
      </c>
      <c r="G307" s="99"/>
    </row>
    <row r="308" spans="1:11">
      <c r="A308" s="99" t="s">
        <v>5186</v>
      </c>
      <c r="B308" s="113">
        <v>-200000</v>
      </c>
      <c r="C308" s="99">
        <v>0</v>
      </c>
      <c r="D308" s="99">
        <f t="shared" si="17"/>
        <v>65</v>
      </c>
      <c r="E308" s="99">
        <f t="shared" si="18"/>
        <v>0</v>
      </c>
      <c r="F308" s="99">
        <f t="shared" si="9"/>
        <v>-13000000</v>
      </c>
      <c r="G308" s="99"/>
    </row>
    <row r="309" spans="1:11">
      <c r="A309" s="99" t="s">
        <v>5186</v>
      </c>
      <c r="B309" s="113">
        <v>-200000</v>
      </c>
      <c r="C309" s="99">
        <v>3</v>
      </c>
      <c r="D309" s="99">
        <f t="shared" si="17"/>
        <v>65</v>
      </c>
      <c r="E309" s="99">
        <f t="shared" si="18"/>
        <v>0</v>
      </c>
      <c r="F309" s="99">
        <f t="shared" si="9"/>
        <v>-13000000</v>
      </c>
      <c r="G309" s="99"/>
    </row>
    <row r="310" spans="1:11">
      <c r="A310" s="99" t="s">
        <v>5195</v>
      </c>
      <c r="B310" s="113">
        <v>-832590</v>
      </c>
      <c r="C310" s="99">
        <v>0</v>
      </c>
      <c r="D310" s="99">
        <f t="shared" si="17"/>
        <v>62</v>
      </c>
      <c r="E310" s="99">
        <f t="shared" si="18"/>
        <v>0</v>
      </c>
      <c r="F310" s="99">
        <f t="shared" si="9"/>
        <v>-51620580</v>
      </c>
      <c r="G310" s="99"/>
    </row>
    <row r="311" spans="1:11">
      <c r="A311" s="99" t="s">
        <v>5195</v>
      </c>
      <c r="B311" s="113">
        <v>-29950</v>
      </c>
      <c r="C311" s="99">
        <v>1</v>
      </c>
      <c r="D311" s="99">
        <f t="shared" si="17"/>
        <v>62</v>
      </c>
      <c r="E311" s="99">
        <f t="shared" si="18"/>
        <v>0</v>
      </c>
      <c r="F311" s="99">
        <f t="shared" si="9"/>
        <v>-1856900</v>
      </c>
      <c r="G311" s="99"/>
      <c r="K311" t="s">
        <v>25</v>
      </c>
    </row>
    <row r="312" spans="1:11">
      <c r="A312" s="99" t="s">
        <v>5253</v>
      </c>
      <c r="B312" s="113">
        <v>-8500</v>
      </c>
      <c r="C312" s="99">
        <v>1</v>
      </c>
      <c r="D312" s="99">
        <f t="shared" si="17"/>
        <v>61</v>
      </c>
      <c r="E312" s="99">
        <f t="shared" si="18"/>
        <v>0</v>
      </c>
      <c r="F312" s="99">
        <f t="shared" si="9"/>
        <v>-518500</v>
      </c>
      <c r="G312" s="99"/>
    </row>
    <row r="313" spans="1:11">
      <c r="A313" s="99" t="s">
        <v>5217</v>
      </c>
      <c r="B313" s="113">
        <v>-116300</v>
      </c>
      <c r="C313" s="99">
        <v>1</v>
      </c>
      <c r="D313" s="99">
        <f t="shared" si="17"/>
        <v>60</v>
      </c>
      <c r="E313" s="99">
        <f t="shared" si="18"/>
        <v>0</v>
      </c>
      <c r="F313" s="99">
        <f t="shared" si="9"/>
        <v>-6978000</v>
      </c>
      <c r="G313" s="99"/>
    </row>
    <row r="314" spans="1:11">
      <c r="A314" s="99" t="s">
        <v>5200</v>
      </c>
      <c r="B314" s="113">
        <v>-75500</v>
      </c>
      <c r="C314" s="99">
        <v>1</v>
      </c>
      <c r="D314" s="99">
        <f t="shared" si="17"/>
        <v>59</v>
      </c>
      <c r="E314" s="99">
        <f t="shared" si="18"/>
        <v>0</v>
      </c>
      <c r="F314" s="99">
        <f t="shared" ref="F314:F331" si="19">B314*(D314-E314)</f>
        <v>-4454500</v>
      </c>
      <c r="G314" s="99"/>
    </row>
    <row r="315" spans="1:11">
      <c r="A315" s="99" t="s">
        <v>5211</v>
      </c>
      <c r="B315" s="113">
        <v>-331250</v>
      </c>
      <c r="C315" s="99">
        <v>2</v>
      </c>
      <c r="D315" s="99">
        <f t="shared" si="17"/>
        <v>58</v>
      </c>
      <c r="E315" s="99">
        <f t="shared" si="18"/>
        <v>0</v>
      </c>
      <c r="F315" s="99">
        <f t="shared" si="19"/>
        <v>-19212500</v>
      </c>
      <c r="G315" s="99"/>
    </row>
    <row r="316" spans="1:11">
      <c r="A316" s="99" t="s">
        <v>5254</v>
      </c>
      <c r="B316" s="113">
        <v>-39000</v>
      </c>
      <c r="C316" s="99">
        <v>1</v>
      </c>
      <c r="D316" s="99">
        <f t="shared" si="17"/>
        <v>56</v>
      </c>
      <c r="E316" s="99">
        <f t="shared" si="18"/>
        <v>0</v>
      </c>
      <c r="F316" s="99">
        <f t="shared" si="19"/>
        <v>-2184000</v>
      </c>
      <c r="G316" s="99"/>
      <c r="I316" s="114"/>
    </row>
    <row r="317" spans="1:11">
      <c r="A317" s="99" t="s">
        <v>5213</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5222</v>
      </c>
      <c r="B319" s="113">
        <v>-4000</v>
      </c>
      <c r="C319" s="99">
        <v>11</v>
      </c>
      <c r="D319" s="99">
        <f t="shared" ref="D319:D326" si="20">D320+C319</f>
        <v>51</v>
      </c>
      <c r="E319" s="99">
        <f t="shared" ref="E319:E326" si="21">IF(B320&gt;0,1,0)</f>
        <v>1</v>
      </c>
      <c r="F319" s="99">
        <f t="shared" si="19"/>
        <v>-200000</v>
      </c>
      <c r="G319" s="99"/>
    </row>
    <row r="320" spans="1:11">
      <c r="A320" s="99" t="s">
        <v>5255</v>
      </c>
      <c r="B320" s="113">
        <v>6300000</v>
      </c>
      <c r="C320" s="99">
        <v>1</v>
      </c>
      <c r="D320" s="99">
        <f t="shared" si="20"/>
        <v>40</v>
      </c>
      <c r="E320" s="99">
        <f t="shared" si="21"/>
        <v>0</v>
      </c>
      <c r="F320" s="99">
        <f t="shared" si="19"/>
        <v>252000000</v>
      </c>
      <c r="G320" s="99"/>
    </row>
    <row r="321" spans="1:9">
      <c r="A321" s="99" t="s">
        <v>5284</v>
      </c>
      <c r="B321" s="113">
        <v>-6000000</v>
      </c>
      <c r="C321" s="99">
        <v>2</v>
      </c>
      <c r="D321" s="99">
        <f t="shared" si="20"/>
        <v>39</v>
      </c>
      <c r="E321" s="99">
        <f t="shared" si="21"/>
        <v>0</v>
      </c>
      <c r="F321" s="99">
        <f t="shared" si="19"/>
        <v>-234000000</v>
      </c>
      <c r="G321" s="99"/>
    </row>
    <row r="322" spans="1:9">
      <c r="A322" s="99" t="s">
        <v>5280</v>
      </c>
      <c r="B322" s="113">
        <v>-295000</v>
      </c>
      <c r="C322" s="99">
        <v>0</v>
      </c>
      <c r="D322" s="99">
        <f t="shared" si="20"/>
        <v>37</v>
      </c>
      <c r="E322" s="99">
        <f t="shared" si="21"/>
        <v>1</v>
      </c>
      <c r="F322" s="99">
        <f t="shared" si="19"/>
        <v>-10620000</v>
      </c>
      <c r="G322" s="99"/>
    </row>
    <row r="323" spans="1:9">
      <c r="A323" s="99" t="s">
        <v>5280</v>
      </c>
      <c r="B323" s="113">
        <v>483</v>
      </c>
      <c r="C323" s="99">
        <v>8</v>
      </c>
      <c r="D323" s="99">
        <f t="shared" si="20"/>
        <v>37</v>
      </c>
      <c r="E323" s="99">
        <f t="shared" si="21"/>
        <v>1</v>
      </c>
      <c r="F323" s="99">
        <f t="shared" si="19"/>
        <v>17388</v>
      </c>
      <c r="G323" s="99" t="s">
        <v>694</v>
      </c>
      <c r="I323" t="s">
        <v>25</v>
      </c>
    </row>
    <row r="324" spans="1:9">
      <c r="A324" s="99" t="s">
        <v>5311</v>
      </c>
      <c r="B324" s="113">
        <v>1700000</v>
      </c>
      <c r="C324" s="99">
        <v>0</v>
      </c>
      <c r="D324" s="99">
        <f t="shared" si="20"/>
        <v>29</v>
      </c>
      <c r="E324" s="99">
        <f t="shared" si="21"/>
        <v>0</v>
      </c>
      <c r="F324" s="99">
        <f t="shared" si="19"/>
        <v>49300000</v>
      </c>
      <c r="G324" s="99"/>
    </row>
    <row r="325" spans="1:9">
      <c r="A325" s="99" t="s">
        <v>5311</v>
      </c>
      <c r="B325" s="113">
        <v>-53000</v>
      </c>
      <c r="C325" s="99">
        <v>1</v>
      </c>
      <c r="D325" s="99">
        <f t="shared" si="20"/>
        <v>29</v>
      </c>
      <c r="E325" s="99">
        <f t="shared" si="21"/>
        <v>0</v>
      </c>
      <c r="F325" s="99">
        <f t="shared" si="19"/>
        <v>-1537000</v>
      </c>
      <c r="G325" s="99"/>
    </row>
    <row r="326" spans="1:9">
      <c r="A326" s="99" t="s">
        <v>5312</v>
      </c>
      <c r="B326" s="113">
        <v>-1300000</v>
      </c>
      <c r="C326" s="99">
        <v>0</v>
      </c>
      <c r="D326" s="99">
        <f t="shared" si="20"/>
        <v>28</v>
      </c>
      <c r="E326" s="99">
        <f t="shared" si="21"/>
        <v>0</v>
      </c>
      <c r="F326" s="99">
        <f t="shared" si="19"/>
        <v>-36400000</v>
      </c>
      <c r="G326" s="99"/>
      <c r="I326" t="s">
        <v>25</v>
      </c>
    </row>
    <row r="327" spans="1:9">
      <c r="A327" s="99" t="s">
        <v>5312</v>
      </c>
      <c r="B327" s="113">
        <v>-41500</v>
      </c>
      <c r="C327" s="99">
        <v>1</v>
      </c>
      <c r="D327" s="99">
        <f t="shared" ref="D327:D331" si="22">D328+C327</f>
        <v>28</v>
      </c>
      <c r="E327" s="99">
        <f t="shared" ref="E327:E331" si="23">IF(B328&gt;0,1,0)</f>
        <v>0</v>
      </c>
      <c r="F327" s="99">
        <f t="shared" si="19"/>
        <v>-1162000</v>
      </c>
      <c r="G327" s="99"/>
    </row>
    <row r="328" spans="1:9">
      <c r="A328" s="99" t="s">
        <v>5318</v>
      </c>
      <c r="B328" s="113">
        <v>-57700</v>
      </c>
      <c r="C328" s="99">
        <v>3</v>
      </c>
      <c r="D328" s="99">
        <f t="shared" si="22"/>
        <v>27</v>
      </c>
      <c r="E328" s="99">
        <f t="shared" si="23"/>
        <v>0</v>
      </c>
      <c r="F328" s="99">
        <f t="shared" si="19"/>
        <v>-1557900</v>
      </c>
      <c r="G328" s="99"/>
    </row>
    <row r="329" spans="1:9">
      <c r="A329" s="99" t="s">
        <v>5321</v>
      </c>
      <c r="B329" s="113">
        <v>-5600</v>
      </c>
      <c r="C329" s="99">
        <v>1</v>
      </c>
      <c r="D329" s="99">
        <f t="shared" si="22"/>
        <v>24</v>
      </c>
      <c r="E329" s="99">
        <f t="shared" si="23"/>
        <v>0</v>
      </c>
      <c r="F329" s="99">
        <f t="shared" si="19"/>
        <v>-134400</v>
      </c>
      <c r="G329" s="99"/>
    </row>
    <row r="330" spans="1:9">
      <c r="A330" s="99" t="s">
        <v>5323</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5343</v>
      </c>
      <c r="B333" s="113">
        <v>-78508</v>
      </c>
      <c r="C333" s="99">
        <v>2</v>
      </c>
      <c r="D333" s="99">
        <f t="shared" si="24"/>
        <v>19</v>
      </c>
      <c r="E333" s="99">
        <f t="shared" si="25"/>
        <v>0</v>
      </c>
      <c r="F333" s="99">
        <f t="shared" si="26"/>
        <v>-1491652</v>
      </c>
      <c r="G333" s="99"/>
    </row>
    <row r="334" spans="1:9">
      <c r="A334" s="99" t="s">
        <v>5344</v>
      </c>
      <c r="B334" s="113">
        <v>-2000</v>
      </c>
      <c r="C334" s="99">
        <v>4</v>
      </c>
      <c r="D334" s="99">
        <f t="shared" ref="D334:D357" si="27">D335+C334</f>
        <v>17</v>
      </c>
      <c r="E334" s="99">
        <f t="shared" ref="E334:E357" si="28">IF(B335&gt;0,1,0)</f>
        <v>1</v>
      </c>
      <c r="F334" s="99">
        <f t="shared" ref="F334:F357" si="29">B334*(D334-E334)</f>
        <v>-32000</v>
      </c>
      <c r="G334" s="99"/>
    </row>
    <row r="335" spans="1:9">
      <c r="A335" s="99" t="s">
        <v>5350</v>
      </c>
      <c r="B335" s="113">
        <v>2200472</v>
      </c>
      <c r="C335" s="99">
        <v>1</v>
      </c>
      <c r="D335" s="99">
        <f t="shared" si="27"/>
        <v>13</v>
      </c>
      <c r="E335" s="99">
        <f t="shared" si="28"/>
        <v>0</v>
      </c>
      <c r="F335" s="99">
        <f t="shared" si="29"/>
        <v>28606136</v>
      </c>
      <c r="G335" s="99"/>
      <c r="H335" t="s">
        <v>25</v>
      </c>
    </row>
    <row r="336" spans="1:9">
      <c r="A336" s="99" t="s">
        <v>5360</v>
      </c>
      <c r="B336" s="113">
        <v>-28000</v>
      </c>
      <c r="C336" s="99">
        <v>2</v>
      </c>
      <c r="D336" s="99">
        <f t="shared" si="27"/>
        <v>12</v>
      </c>
      <c r="E336" s="99">
        <f t="shared" si="28"/>
        <v>1</v>
      </c>
      <c r="F336" s="99">
        <f t="shared" si="29"/>
        <v>-308000</v>
      </c>
      <c r="G336" s="99"/>
    </row>
    <row r="337" spans="1:13">
      <c r="A337" s="99" t="s">
        <v>5356</v>
      </c>
      <c r="B337" s="113">
        <v>2500000</v>
      </c>
      <c r="C337" s="99">
        <v>0</v>
      </c>
      <c r="D337" s="99">
        <f t="shared" si="27"/>
        <v>10</v>
      </c>
      <c r="E337" s="99">
        <f t="shared" si="28"/>
        <v>0</v>
      </c>
      <c r="F337" s="99">
        <f t="shared" si="29"/>
        <v>25000000</v>
      </c>
      <c r="G337" s="99"/>
    </row>
    <row r="338" spans="1:13">
      <c r="A338" s="99" t="s">
        <v>5356</v>
      </c>
      <c r="B338" s="113">
        <v>-407500</v>
      </c>
      <c r="C338" s="99">
        <v>2</v>
      </c>
      <c r="D338" s="99">
        <f t="shared" si="27"/>
        <v>10</v>
      </c>
      <c r="E338" s="99">
        <f t="shared" si="28"/>
        <v>0</v>
      </c>
      <c r="F338" s="99">
        <f t="shared" si="29"/>
        <v>-4075000</v>
      </c>
      <c r="G338" s="99"/>
    </row>
    <row r="339" spans="1:13">
      <c r="A339" s="99" t="s">
        <v>5361</v>
      </c>
      <c r="B339" s="113">
        <v>-3600</v>
      </c>
      <c r="C339" s="99">
        <v>1</v>
      </c>
      <c r="D339" s="99">
        <f t="shared" si="27"/>
        <v>8</v>
      </c>
      <c r="E339" s="99">
        <f t="shared" si="28"/>
        <v>0</v>
      </c>
      <c r="F339" s="99">
        <f t="shared" si="29"/>
        <v>-28800</v>
      </c>
      <c r="G339" s="99"/>
    </row>
    <row r="340" spans="1:13">
      <c r="A340" s="99" t="s">
        <v>5372</v>
      </c>
      <c r="B340" s="113">
        <v>-170094</v>
      </c>
      <c r="C340" s="99">
        <v>1</v>
      </c>
      <c r="D340" s="99">
        <f t="shared" si="27"/>
        <v>7</v>
      </c>
      <c r="E340" s="99">
        <f t="shared" si="28"/>
        <v>0</v>
      </c>
      <c r="F340" s="99">
        <f t="shared" si="29"/>
        <v>-1190658</v>
      </c>
      <c r="G340" s="99"/>
      <c r="J340" t="s">
        <v>25</v>
      </c>
    </row>
    <row r="341" spans="1:13">
      <c r="A341" s="99" t="s">
        <v>5363</v>
      </c>
      <c r="B341" s="113">
        <v>-51730</v>
      </c>
      <c r="C341" s="99">
        <v>1</v>
      </c>
      <c r="D341" s="99">
        <f t="shared" si="27"/>
        <v>6</v>
      </c>
      <c r="E341" s="99">
        <f t="shared" si="28"/>
        <v>0</v>
      </c>
      <c r="F341" s="99">
        <f t="shared" si="29"/>
        <v>-310380</v>
      </c>
      <c r="G341" s="99"/>
    </row>
    <row r="342" spans="1:13">
      <c r="A342" s="99" t="s">
        <v>5373</v>
      </c>
      <c r="B342" s="113">
        <v>-200000</v>
      </c>
      <c r="C342" s="99">
        <v>2</v>
      </c>
      <c r="D342" s="99">
        <f t="shared" si="27"/>
        <v>5</v>
      </c>
      <c r="E342" s="99">
        <f t="shared" si="28"/>
        <v>0</v>
      </c>
      <c r="F342" s="99">
        <f t="shared" si="29"/>
        <v>-1000000</v>
      </c>
      <c r="G342" s="99"/>
    </row>
    <row r="343" spans="1:13">
      <c r="A343" s="99" t="s">
        <v>5310</v>
      </c>
      <c r="B343" s="113">
        <v>-3000000</v>
      </c>
      <c r="C343" s="99">
        <v>0</v>
      </c>
      <c r="D343" s="99">
        <f t="shared" si="27"/>
        <v>3</v>
      </c>
      <c r="E343" s="99">
        <f t="shared" si="28"/>
        <v>0</v>
      </c>
      <c r="F343" s="99">
        <f t="shared" si="29"/>
        <v>-9000000</v>
      </c>
      <c r="G343" s="99"/>
    </row>
    <row r="344" spans="1:13">
      <c r="A344" s="99" t="s">
        <v>5310</v>
      </c>
      <c r="B344" s="113">
        <v>-39726</v>
      </c>
      <c r="C344" s="99">
        <v>1</v>
      </c>
      <c r="D344" s="99">
        <f t="shared" si="27"/>
        <v>3</v>
      </c>
      <c r="E344" s="99">
        <f t="shared" si="28"/>
        <v>0</v>
      </c>
      <c r="F344" s="99">
        <f t="shared" si="29"/>
        <v>-119178</v>
      </c>
      <c r="G344" s="99"/>
      <c r="M344" t="s">
        <v>25</v>
      </c>
    </row>
    <row r="345" spans="1:13">
      <c r="A345" s="99" t="s">
        <v>5376</v>
      </c>
      <c r="B345" s="113">
        <v>-566500</v>
      </c>
      <c r="C345" s="99">
        <v>1</v>
      </c>
      <c r="D345" s="99">
        <f t="shared" si="27"/>
        <v>2</v>
      </c>
      <c r="E345" s="99">
        <f t="shared" si="28"/>
        <v>0</v>
      </c>
      <c r="F345" s="99">
        <f t="shared" si="29"/>
        <v>-1133000</v>
      </c>
      <c r="G345" s="99"/>
      <c r="K345" t="s">
        <v>25</v>
      </c>
    </row>
    <row r="346" spans="1:13">
      <c r="A346" s="99" t="s">
        <v>5378</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H72" zoomScale="85" zoomScaleNormal="85"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773540999.93043864</v>
      </c>
      <c r="M21" s="168" t="s">
        <v>4292</v>
      </c>
      <c r="N21" s="113">
        <f t="shared" ref="N21:N25" si="9">O21*P21</f>
        <v>495577353.59999996</v>
      </c>
      <c r="O21" s="99">
        <v>1638814</v>
      </c>
      <c r="P21" s="185">
        <f>P47</f>
        <v>302.39999999999998</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3657192.5</v>
      </c>
      <c r="O22" s="99">
        <v>655</v>
      </c>
      <c r="P22" s="185">
        <f>P44</f>
        <v>5583.5</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5105667.7</v>
      </c>
      <c r="O23" s="99">
        <v>791</v>
      </c>
      <c r="P23" s="185">
        <f>P46</f>
        <v>6454.7</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663007515.33043861</v>
      </c>
      <c r="G24" s="95">
        <f t="shared" si="0"/>
        <v>-382701169.94849998</v>
      </c>
      <c r="H24" s="11"/>
      <c r="I24" s="96"/>
      <c r="J24" s="96"/>
      <c r="K24" s="213"/>
      <c r="L24" s="117"/>
      <c r="M24" s="213" t="s">
        <v>5215</v>
      </c>
      <c r="N24" s="113">
        <f t="shared" si="9"/>
        <v>0</v>
      </c>
      <c r="O24" s="99">
        <v>0</v>
      </c>
      <c r="P24" s="185">
        <f>P48</f>
        <v>3200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98'!D101</f>
        <v>-27631459</v>
      </c>
      <c r="M25" s="213" t="s">
        <v>4398</v>
      </c>
      <c r="N25" s="113">
        <f t="shared" si="9"/>
        <v>122341601.60000001</v>
      </c>
      <c r="O25" s="99">
        <v>156808</v>
      </c>
      <c r="P25" s="185">
        <f>P45</f>
        <v>780.2</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1566641.6</v>
      </c>
      <c r="O28" s="69">
        <v>2008</v>
      </c>
      <c r="P28" s="99">
        <f>P45</f>
        <v>780.2</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346177</v>
      </c>
      <c r="O29" s="69">
        <v>62</v>
      </c>
      <c r="P29" s="99">
        <f>P44</f>
        <v>5583.5</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8139376.7000000002</v>
      </c>
      <c r="O30" s="69">
        <v>1261</v>
      </c>
      <c r="P30" s="99">
        <f>P46</f>
        <v>6454.7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117494798.39999999</v>
      </c>
      <c r="O31" s="69">
        <v>388541</v>
      </c>
      <c r="P31" s="99">
        <f>P47</f>
        <v>302.39999999999998</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-773540999.93043864</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5178</v>
      </c>
      <c r="L42" s="117">
        <v>-700000</v>
      </c>
      <c r="M42" s="168" t="s">
        <v>4444</v>
      </c>
      <c r="N42" s="113">
        <v>0</v>
      </c>
      <c r="O42" s="114">
        <v>-2432359</v>
      </c>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5369</v>
      </c>
      <c r="L44" s="117">
        <f>-22884*P47</f>
        <v>-6920121.5999999996</v>
      </c>
      <c r="M44" s="21" t="s">
        <v>4380</v>
      </c>
      <c r="N44" s="117">
        <f t="shared" ref="N44:N50" si="16">O44*P44</f>
        <v>290342</v>
      </c>
      <c r="O44" s="69">
        <v>52</v>
      </c>
      <c r="P44" s="69">
        <v>5583.5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5341</v>
      </c>
      <c r="L45" s="117">
        <f>-1200*P50</f>
        <v>-14160000</v>
      </c>
      <c r="M45" s="19" t="s">
        <v>4398</v>
      </c>
      <c r="N45" s="117">
        <f t="shared" si="16"/>
        <v>72351847</v>
      </c>
      <c r="O45" s="69">
        <v>92735</v>
      </c>
      <c r="P45" s="69">
        <v>780.2</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20500127.199999999</v>
      </c>
      <c r="O46" s="69">
        <v>3176</v>
      </c>
      <c r="P46" s="69">
        <v>6454.7</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5368</v>
      </c>
      <c r="L47" s="117">
        <f>130165*P47</f>
        <v>39361896</v>
      </c>
      <c r="M47" s="19" t="s">
        <v>4174</v>
      </c>
      <c r="N47" s="113">
        <f t="shared" si="16"/>
        <v>904215009.5999999</v>
      </c>
      <c r="O47" s="99">
        <v>2990129</v>
      </c>
      <c r="P47" s="99">
        <v>302.39999999999998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5215</v>
      </c>
      <c r="N48" s="113">
        <f t="shared" si="16"/>
        <v>0</v>
      </c>
      <c r="O48" s="99">
        <v>0</v>
      </c>
      <c r="P48" s="99">
        <v>3200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5388</v>
      </c>
      <c r="L49" s="117">
        <v>-100000</v>
      </c>
      <c r="M49" s="21" t="s">
        <v>1083</v>
      </c>
      <c r="N49" s="117">
        <f t="shared" si="16"/>
        <v>0</v>
      </c>
      <c r="O49" s="69">
        <v>0</v>
      </c>
      <c r="P49" s="69">
        <v>414000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5214</v>
      </c>
      <c r="N50" s="117">
        <f t="shared" si="16"/>
        <v>0</v>
      </c>
      <c r="O50" s="74">
        <v>0</v>
      </c>
      <c r="P50" s="74">
        <v>11800</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5184</v>
      </c>
      <c r="S52" s="197">
        <f>S51</f>
        <v>43</v>
      </c>
      <c r="T52" s="213" t="s">
        <v>5359</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-24179019.031378947</v>
      </c>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663007515.33043861</v>
      </c>
      <c r="M60" s="168"/>
      <c r="N60" s="113">
        <f>SUM(N16:N59)</f>
        <v>893872484.93818235</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763007515.33043861</v>
      </c>
      <c r="M62" s="113"/>
      <c r="N62" s="168"/>
      <c r="O62" s="115"/>
      <c r="P62" s="115"/>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5347</v>
      </c>
      <c r="S70" s="197">
        <f>S69-1</f>
        <v>-8</v>
      </c>
      <c r="T70" s="213" t="s">
        <v>5348</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5350</v>
      </c>
      <c r="S71" s="197">
        <f>S70-2</f>
        <v>-10</v>
      </c>
      <c r="T71" s="213" t="s">
        <v>5352</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5356</v>
      </c>
      <c r="S72" s="197">
        <f>S71-3</f>
        <v>-13</v>
      </c>
      <c r="T72" s="213" t="s">
        <v>5394</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5371</v>
      </c>
      <c r="O73" t="s">
        <v>25</v>
      </c>
      <c r="P73" s="115"/>
      <c r="Q73" s="169">
        <v>459771</v>
      </c>
      <c r="R73" s="213" t="s">
        <v>5356</v>
      </c>
      <c r="S73" s="197">
        <f>S72</f>
        <v>-13</v>
      </c>
      <c r="T73" s="213" t="s">
        <v>5358</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1517287161.5999999</v>
      </c>
      <c r="P74" s="115"/>
      <c r="Q74" s="169">
        <v>101835</v>
      </c>
      <c r="R74" s="213" t="s">
        <v>5361</v>
      </c>
      <c r="S74" s="197">
        <f>S73-2</f>
        <v>-15</v>
      </c>
      <c r="T74" s="213" t="s">
        <v>5362</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5363</v>
      </c>
      <c r="S75" s="197">
        <f>S74-2</f>
        <v>-17</v>
      </c>
      <c r="T75" s="213" t="s">
        <v>5366</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5378</v>
      </c>
      <c r="S76" s="197">
        <f>S75-5</f>
        <v>-22</v>
      </c>
      <c r="T76" s="213" t="s">
        <v>5380</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197384021.39999998</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M91" t="s">
        <v>5392</v>
      </c>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13690.476190476191</v>
      </c>
      <c r="G102" s="199">
        <f>P47</f>
        <v>302.39999999999998</v>
      </c>
      <c r="H102" s="199" t="s">
        <v>4773</v>
      </c>
      <c r="I102" s="199" t="s">
        <v>4772</v>
      </c>
      <c r="J102" s="214" t="s">
        <v>4234</v>
      </c>
      <c r="K102" s="199">
        <v>175</v>
      </c>
      <c r="L102" s="215">
        <f t="shared" ref="L102:L107" si="28">K102*$L$110</f>
        <v>724500000</v>
      </c>
      <c r="M102" s="215">
        <f>N21+N31+N47</f>
        <v>1517287161.5999999</v>
      </c>
      <c r="N102" s="183">
        <f t="shared" ref="N102:N106" si="29">L102-M102</f>
        <v>-792787161.5999999</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5306.331709817995</v>
      </c>
      <c r="G105" s="213">
        <f>P45</f>
        <v>780.2</v>
      </c>
      <c r="H105" s="213" t="s">
        <v>4665</v>
      </c>
      <c r="I105" s="213" t="s">
        <v>4664</v>
      </c>
      <c r="J105" s="32" t="s">
        <v>4398</v>
      </c>
      <c r="K105" s="213">
        <v>43</v>
      </c>
      <c r="L105" s="1">
        <f t="shared" si="28"/>
        <v>178020000</v>
      </c>
      <c r="M105" s="1">
        <f>N45+N25</f>
        <v>194693448.60000002</v>
      </c>
      <c r="N105" s="113">
        <f t="shared" si="29"/>
        <v>-16673448.600000024</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4140000</v>
      </c>
      <c r="M106" s="215">
        <f>0</f>
        <v>0</v>
      </c>
      <c r="N106" s="183">
        <f t="shared" si="29"/>
        <v>4140000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5374</v>
      </c>
      <c r="K107" s="191">
        <v>187</v>
      </c>
      <c r="L107" s="258">
        <f t="shared" si="28"/>
        <v>774180000</v>
      </c>
      <c r="M107" s="258">
        <v>0</v>
      </c>
      <c r="N107" s="86">
        <f>L107-M107</f>
        <v>774180000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406</v>
      </c>
      <c r="L109" s="215"/>
      <c r="M109" s="215"/>
      <c r="N109" s="183"/>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4140000</v>
      </c>
      <c r="M110" s="1">
        <f>K110*L110</f>
        <v>0</v>
      </c>
      <c r="N110" s="113">
        <f>SUM(N102:N108)-M110</f>
        <v>-1140610.1999999285</v>
      </c>
      <c r="P110" s="114"/>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5347</v>
      </c>
      <c r="S112" s="197">
        <f>S111-8</f>
        <v>-8</v>
      </c>
      <c r="T112" s="189" t="s">
        <v>5349</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5363</v>
      </c>
      <c r="S113" s="197">
        <f>S112-9</f>
        <v>-17</v>
      </c>
      <c r="T113" s="189" t="s">
        <v>5365</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35729173.699999988</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5310</v>
      </c>
      <c r="I117" s="213" t="s">
        <v>5298</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302.39999999999998</v>
      </c>
      <c r="H119" s="213" t="s">
        <v>4234</v>
      </c>
      <c r="I119" s="213">
        <v>129827</v>
      </c>
      <c r="J119" s="1">
        <f>I119*G119</f>
        <v>39259684.799999997</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780.2</v>
      </c>
      <c r="H120" s="213" t="s">
        <v>4398</v>
      </c>
      <c r="I120" s="213">
        <v>1205</v>
      </c>
      <c r="J120" s="1">
        <f t="shared" ref="J120:J121" si="33">I120*G120</f>
        <v>940141</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6454.7</v>
      </c>
      <c r="H121" s="213" t="s">
        <v>4384</v>
      </c>
      <c r="I121" s="213">
        <v>1399</v>
      </c>
      <c r="J121" s="1">
        <f t="shared" si="33"/>
        <v>9030125.2999999989</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29307536.099999994</v>
      </c>
      <c r="J123" s="1">
        <f>SUM(J119:J122)</f>
        <v>49229951.099999994</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302.39999999999998</v>
      </c>
      <c r="H127" s="213" t="s">
        <v>4234</v>
      </c>
      <c r="I127" s="213">
        <v>50896</v>
      </c>
      <c r="J127" s="1">
        <f>G127*I127</f>
        <v>15390950.399999999</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780.2</v>
      </c>
      <c r="H128" s="213" t="s">
        <v>4398</v>
      </c>
      <c r="I128" s="213">
        <v>2304</v>
      </c>
      <c r="J128" s="1">
        <f t="shared" ref="J128:J129" si="40">G128*I128</f>
        <v>1797580.8</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5583.5</v>
      </c>
      <c r="H129" s="213" t="s">
        <v>4380</v>
      </c>
      <c r="I129" s="213">
        <v>715</v>
      </c>
      <c r="J129" s="1">
        <f t="shared" si="40"/>
        <v>3992202.5</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4861590.6999999993</v>
      </c>
      <c r="J131" s="1">
        <f>SUM(J127:J130)</f>
        <v>21180733.699999999</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5367</v>
      </c>
      <c r="I134" s="213" t="s">
        <v>5227</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302.39999999999998</v>
      </c>
      <c r="H135" s="213" t="s">
        <v>4234</v>
      </c>
      <c r="I135" s="213">
        <v>46582</v>
      </c>
      <c r="J135" s="1">
        <f>G135*I135</f>
        <v>14086396.799999999</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4291396.799999997</v>
      </c>
      <c r="J137" s="1">
        <f>SUM(J135:J136)</f>
        <v>24086396.799999997</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302.39999999999998</v>
      </c>
      <c r="H141" s="99" t="s">
        <v>4234</v>
      </c>
      <c r="I141" s="99">
        <v>39042</v>
      </c>
      <c r="J141" s="1">
        <f>G141*I141</f>
        <v>11806300.799999999</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6454.7</v>
      </c>
      <c r="H142" s="99" t="s">
        <v>4384</v>
      </c>
      <c r="I142" s="99">
        <v>1150</v>
      </c>
      <c r="J142" s="1">
        <f>G142*I142</f>
        <v>7422905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-770794.20000000298</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5248</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2"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5377</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5232</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5228</v>
      </c>
      <c r="S168" s="213">
        <f>S167-21</f>
        <v>27</v>
      </c>
      <c r="T168" s="213" t="s">
        <v>5306</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5247</v>
      </c>
      <c r="S169" s="213">
        <f>S168-9</f>
        <v>18</v>
      </c>
      <c r="T169" s="213" t="s">
        <v>5249</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5275</v>
      </c>
      <c r="S170" s="213">
        <f>S169-3</f>
        <v>15</v>
      </c>
      <c r="T170" s="213" t="s">
        <v>5279</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5280</v>
      </c>
      <c r="S171" s="213">
        <f>S170-1</f>
        <v>14</v>
      </c>
      <c r="T171" s="213" t="s">
        <v>5283</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5286</v>
      </c>
      <c r="S172" s="213">
        <f>S171-1</f>
        <v>13</v>
      </c>
      <c r="T172" s="213" t="s">
        <v>5290</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5291</v>
      </c>
      <c r="S173" s="213">
        <f>S172-1</f>
        <v>12</v>
      </c>
      <c r="T173" s="213" t="s">
        <v>5295</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5300</v>
      </c>
      <c r="S174" s="213">
        <f>S173-1</f>
        <v>11</v>
      </c>
      <c r="T174" s="213" t="s">
        <v>5301</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5300</v>
      </c>
      <c r="S175" s="213">
        <f>S174</f>
        <v>11</v>
      </c>
      <c r="T175" s="213" t="s">
        <v>5302</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5307</v>
      </c>
      <c r="S176" s="213">
        <f>S175-4</f>
        <v>7</v>
      </c>
      <c r="T176" s="213" t="s">
        <v>5308</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5330</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5335</v>
      </c>
      <c r="S178" s="213">
        <f>S177-2</f>
        <v>-3</v>
      </c>
      <c r="T178" s="213" t="s">
        <v>5337</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5335</v>
      </c>
      <c r="S179" s="213">
        <f>S178</f>
        <v>-3</v>
      </c>
      <c r="T179" s="213" t="s">
        <v>5338</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5335</v>
      </c>
      <c r="S180" s="213">
        <f>S179</f>
        <v>-3</v>
      </c>
      <c r="T180" s="213" t="s">
        <v>5339</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204929</v>
      </c>
      <c r="R181" s="213" t="s">
        <v>5340</v>
      </c>
      <c r="S181" s="213">
        <f>S180-4</f>
        <v>-7</v>
      </c>
      <c r="T181" s="213" t="s">
        <v>5393</v>
      </c>
      <c r="U181" s="213">
        <v>6800.1</v>
      </c>
      <c r="V181" s="99">
        <f t="shared" si="46"/>
        <v>6866.9459145205483</v>
      </c>
      <c r="W181" s="32">
        <f t="shared" ref="W181:W184" si="53">V181*(1+$W$19/100)</f>
        <v>7004.2848328109594</v>
      </c>
      <c r="X181" s="32">
        <f t="shared" ref="X181:X184" si="54">V181*(1+$X$19/100)</f>
        <v>7141.6237511013705</v>
      </c>
      <c r="Y181" t="s">
        <v>25</v>
      </c>
      <c r="AH181" s="99">
        <v>161</v>
      </c>
      <c r="AI181" s="113" t="s">
        <v>5128</v>
      </c>
      <c r="AJ181" s="113">
        <v>249000</v>
      </c>
      <c r="AK181" s="99">
        <v>9</v>
      </c>
      <c r="AL181" s="20">
        <f t="shared" si="51"/>
        <v>86</v>
      </c>
      <c r="AM181" s="117">
        <f t="shared" si="52"/>
        <v>21414000</v>
      </c>
      <c r="AN181" s="20"/>
    </row>
    <row r="182" spans="17:44">
      <c r="Q182" s="169">
        <v>278792</v>
      </c>
      <c r="R182" s="213" t="s">
        <v>5356</v>
      </c>
      <c r="S182" s="213">
        <f>S181-6</f>
        <v>-13</v>
      </c>
      <c r="T182" s="213" t="s">
        <v>5357</v>
      </c>
      <c r="U182" s="213">
        <v>5550.1</v>
      </c>
      <c r="V182" s="99">
        <f t="shared" si="46"/>
        <v>5579.112577534248</v>
      </c>
      <c r="W182" s="32">
        <f t="shared" si="53"/>
        <v>5690.6948290849332</v>
      </c>
      <c r="X182" s="32">
        <f t="shared" si="54"/>
        <v>5802.2770806356184</v>
      </c>
      <c r="Y182" t="s">
        <v>25</v>
      </c>
      <c r="AH182" s="99">
        <v>162</v>
      </c>
      <c r="AI182" s="113" t="s">
        <v>5159</v>
      </c>
      <c r="AJ182" s="113">
        <v>65000</v>
      </c>
      <c r="AK182" s="99">
        <v>7</v>
      </c>
      <c r="AL182" s="20">
        <f t="shared" ref="AL182" si="55">AL183+AK182</f>
        <v>77</v>
      </c>
      <c r="AM182" s="117">
        <f t="shared" ref="AM182" si="56">AJ182*AL182</f>
        <v>5005000</v>
      </c>
      <c r="AN182" s="20"/>
    </row>
    <row r="183" spans="17:44">
      <c r="Q183" s="169"/>
      <c r="R183" s="213"/>
      <c r="S183" s="213"/>
      <c r="T183" s="213"/>
      <c r="U183" s="213"/>
      <c r="V183" s="99"/>
      <c r="W183" s="32"/>
      <c r="X183" s="32"/>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70</v>
      </c>
      <c r="AM184" s="117">
        <f t="shared" si="58"/>
        <v>3500000</v>
      </c>
      <c r="AN184" s="20"/>
      <c r="AR184" t="s">
        <v>25</v>
      </c>
    </row>
    <row r="185" spans="17:44">
      <c r="Q185" s="113">
        <f>SUM(N44:N49)-SUM(Q123:Q184)</f>
        <v>332177588.79999995</v>
      </c>
      <c r="R185" s="112"/>
      <c r="S185" s="112"/>
      <c r="T185" s="112"/>
      <c r="U185" s="168"/>
      <c r="V185" s="99" t="s">
        <v>25</v>
      </c>
      <c r="W185" s="32"/>
      <c r="X185" s="32"/>
      <c r="AH185" s="99">
        <v>165</v>
      </c>
      <c r="AI185" s="113" t="s">
        <v>5186</v>
      </c>
      <c r="AJ185" s="113">
        <v>-200000</v>
      </c>
      <c r="AK185" s="99">
        <v>0</v>
      </c>
      <c r="AL185" s="20">
        <f t="shared" si="57"/>
        <v>64</v>
      </c>
      <c r="AM185" s="117">
        <f t="shared" si="58"/>
        <v>-12800000</v>
      </c>
      <c r="AN185" s="20" t="s">
        <v>5187</v>
      </c>
    </row>
    <row r="186" spans="17:44">
      <c r="Q186" s="26"/>
      <c r="R186" s="181"/>
      <c r="S186" s="181"/>
      <c r="T186" t="s">
        <v>25</v>
      </c>
      <c r="U186" s="96" t="s">
        <v>25</v>
      </c>
      <c r="V186" s="96" t="s">
        <v>25</v>
      </c>
      <c r="W186" s="96" t="s">
        <v>25</v>
      </c>
      <c r="AH186" s="99">
        <v>166</v>
      </c>
      <c r="AI186" s="113" t="s">
        <v>5186</v>
      </c>
      <c r="AJ186" s="113">
        <v>200000</v>
      </c>
      <c r="AK186" s="99">
        <v>3</v>
      </c>
      <c r="AL186" s="20">
        <f t="shared" si="57"/>
        <v>64</v>
      </c>
      <c r="AM186" s="117">
        <f t="shared" si="58"/>
        <v>12800000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5195</v>
      </c>
      <c r="AJ187" s="113">
        <v>200000</v>
      </c>
      <c r="AK187" s="99">
        <v>3</v>
      </c>
      <c r="AL187" s="20">
        <f t="shared" si="57"/>
        <v>61</v>
      </c>
      <c r="AM187" s="117">
        <f t="shared" si="58"/>
        <v>12200000</v>
      </c>
      <c r="AN187" s="20"/>
    </row>
    <row r="188" spans="17:44">
      <c r="R188" s="32">
        <v>100</v>
      </c>
      <c r="S188" s="234">
        <v>683097</v>
      </c>
      <c r="U188" s="96" t="s">
        <v>25</v>
      </c>
      <c r="V188" s="122" t="s">
        <v>25</v>
      </c>
      <c r="W188" s="96" t="s">
        <v>25</v>
      </c>
      <c r="X188" t="s">
        <v>25</v>
      </c>
      <c r="AH188" s="99">
        <v>168</v>
      </c>
      <c r="AI188" s="113" t="s">
        <v>5200</v>
      </c>
      <c r="AJ188" s="113">
        <v>30000</v>
      </c>
      <c r="AK188" s="99">
        <v>7</v>
      </c>
      <c r="AL188" s="20">
        <f t="shared" si="57"/>
        <v>58</v>
      </c>
      <c r="AM188" s="117">
        <f t="shared" si="58"/>
        <v>1740000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51</v>
      </c>
      <c r="AM189" s="117">
        <f t="shared" si="58"/>
        <v>-510000000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51</v>
      </c>
      <c r="AM190" s="117">
        <f t="shared" si="58"/>
        <v>306000000</v>
      </c>
      <c r="AN190" s="20"/>
      <c r="AP190" t="s">
        <v>25</v>
      </c>
    </row>
    <row r="191" spans="17:44">
      <c r="V191" s="96"/>
      <c r="W191"/>
      <c r="X191"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Q192" s="99" t="s">
        <v>4448</v>
      </c>
      <c r="R192" s="99" t="s">
        <v>4450</v>
      </c>
      <c r="S192" s="99"/>
      <c r="T192" s="99" t="s">
        <v>4451</v>
      </c>
      <c r="U192" s="99"/>
      <c r="V192" s="99"/>
      <c r="W192" s="99" t="s">
        <v>4560</v>
      </c>
      <c r="AH192" s="99">
        <v>172</v>
      </c>
      <c r="AI192" s="113" t="s">
        <v>5280</v>
      </c>
      <c r="AJ192" s="113">
        <v>400000</v>
      </c>
      <c r="AK192" s="99">
        <v>1</v>
      </c>
      <c r="AL192" s="20">
        <f t="shared" si="59"/>
        <v>36</v>
      </c>
      <c r="AM192" s="117">
        <f t="shared" si="60"/>
        <v>14400000</v>
      </c>
      <c r="AN192" s="20"/>
    </row>
    <row r="193" spans="15:45">
      <c r="Q193" s="113">
        <v>1000</v>
      </c>
      <c r="R193" s="99">
        <v>0.25</v>
      </c>
      <c r="S193" s="99"/>
      <c r="T193" s="99">
        <f>1-R193</f>
        <v>0.75</v>
      </c>
      <c r="U193" s="99"/>
      <c r="V193" s="99"/>
      <c r="W193" s="99"/>
      <c r="AH193" s="99">
        <v>173</v>
      </c>
      <c r="AI193" s="113" t="s">
        <v>5286</v>
      </c>
      <c r="AJ193" s="113">
        <v>-100000</v>
      </c>
      <c r="AK193" s="99">
        <v>1</v>
      </c>
      <c r="AL193" s="20">
        <f t="shared" si="59"/>
        <v>35</v>
      </c>
      <c r="AM193" s="117">
        <f t="shared" si="60"/>
        <v>-3500000</v>
      </c>
      <c r="AN193" s="20"/>
    </row>
    <row r="194" spans="15:45">
      <c r="Q194" s="168" t="s">
        <v>4435</v>
      </c>
      <c r="R194" s="168" t="s">
        <v>4453</v>
      </c>
      <c r="S194" s="168" t="s">
        <v>4454</v>
      </c>
      <c r="T194" s="168"/>
      <c r="U194" s="168" t="s">
        <v>4449</v>
      </c>
      <c r="V194" s="56" t="s">
        <v>4452</v>
      </c>
      <c r="W194" s="99"/>
      <c r="X194" s="8" t="s">
        <v>25</v>
      </c>
      <c r="AH194" s="99">
        <v>174</v>
      </c>
      <c r="AI194" s="113" t="s">
        <v>5291</v>
      </c>
      <c r="AJ194" s="113">
        <v>10000000</v>
      </c>
      <c r="AK194" s="99">
        <v>1</v>
      </c>
      <c r="AL194" s="20">
        <f t="shared" si="59"/>
        <v>34</v>
      </c>
      <c r="AM194" s="117">
        <f t="shared" si="60"/>
        <v>340000000</v>
      </c>
      <c r="AN194" s="20" t="s">
        <v>4746</v>
      </c>
      <c r="AS194" t="s">
        <v>25</v>
      </c>
    </row>
    <row r="195" spans="15:45">
      <c r="P195">
        <f>R197-123</f>
        <v>50269</v>
      </c>
      <c r="Q195" s="168" t="s">
        <v>750</v>
      </c>
      <c r="R195" s="56">
        <v>1753091</v>
      </c>
      <c r="S195" s="113">
        <f>R195*$T$352</f>
        <v>841165674.16929567</v>
      </c>
      <c r="T195" s="168"/>
      <c r="U195" s="168">
        <f>$Q$193*$T$193*S195/$R$222</f>
        <v>359.85771476006488</v>
      </c>
      <c r="V195" s="95">
        <f>S195+U195</f>
        <v>841166034.02701044</v>
      </c>
      <c r="W195" s="99">
        <f>R195*100/U349</f>
        <v>47.981028634675319</v>
      </c>
      <c r="X195" s="217"/>
      <c r="AH195" s="99">
        <v>175</v>
      </c>
      <c r="AI195" s="113" t="s">
        <v>5300</v>
      </c>
      <c r="AJ195" s="113">
        <v>-400000</v>
      </c>
      <c r="AK195" s="99">
        <v>6</v>
      </c>
      <c r="AL195" s="20">
        <f t="shared" ref="AL195:AL203" si="61">AL196+AK195</f>
        <v>33</v>
      </c>
      <c r="AM195" s="117">
        <f t="shared" ref="AM195:AM203" si="62">AJ195*AL195</f>
        <v>-13200000</v>
      </c>
      <c r="AN195" s="20"/>
    </row>
    <row r="196" spans="15:45">
      <c r="Q196" s="168" t="s">
        <v>4437</v>
      </c>
      <c r="R196" s="56">
        <v>1612153</v>
      </c>
      <c r="S196" s="113">
        <f>R196*$T$352</f>
        <v>773540999.93043864</v>
      </c>
      <c r="T196" s="168"/>
      <c r="U196" s="213">
        <f>$Q$193*$T$193*S196/$R$222</f>
        <v>330.92731319913395</v>
      </c>
      <c r="V196" s="95">
        <f t="shared" ref="V196:V197" si="63">S196+U196</f>
        <v>773541330.85775185</v>
      </c>
      <c r="W196" s="99">
        <f>R196*100/U349</f>
        <v>44.123641759884521</v>
      </c>
      <c r="X196" s="115"/>
      <c r="AH196" s="99">
        <v>176</v>
      </c>
      <c r="AI196" s="113" t="s">
        <v>5312</v>
      </c>
      <c r="AJ196" s="113">
        <v>1300000</v>
      </c>
      <c r="AK196" s="99">
        <v>0</v>
      </c>
      <c r="AL196" s="20">
        <f t="shared" si="61"/>
        <v>27</v>
      </c>
      <c r="AM196" s="117">
        <f t="shared" si="62"/>
        <v>35100000</v>
      </c>
      <c r="AN196" s="20"/>
      <c r="AR196" t="s">
        <v>25</v>
      </c>
    </row>
    <row r="197" spans="15:45">
      <c r="P197" s="114"/>
      <c r="Q197" s="168" t="s">
        <v>4436</v>
      </c>
      <c r="R197" s="56">
        <v>50392</v>
      </c>
      <c r="S197" s="113">
        <f>R197*$T$352</f>
        <v>24179019.031378947</v>
      </c>
      <c r="T197" s="168"/>
      <c r="U197" s="213">
        <f>$Q$193*$T$193*S197/$R$222</f>
        <v>10.343986685339887</v>
      </c>
      <c r="V197" s="95">
        <f t="shared" si="63"/>
        <v>24179029.375365634</v>
      </c>
      <c r="W197" s="99">
        <f>R197*100/U349</f>
        <v>1.3791982247119852</v>
      </c>
      <c r="X197" s="115"/>
      <c r="Y197" t="s">
        <v>25</v>
      </c>
      <c r="AH197" s="99">
        <v>177</v>
      </c>
      <c r="AI197" s="113" t="s">
        <v>5312</v>
      </c>
      <c r="AJ197" s="113">
        <v>230000</v>
      </c>
      <c r="AK197" s="99">
        <v>1</v>
      </c>
      <c r="AL197" s="20">
        <f t="shared" si="61"/>
        <v>27</v>
      </c>
      <c r="AM197" s="117">
        <f t="shared" si="62"/>
        <v>6210000</v>
      </c>
      <c r="AN197" s="20"/>
    </row>
    <row r="198" spans="15:45">
      <c r="O198" t="s">
        <v>25</v>
      </c>
      <c r="P198" s="114"/>
      <c r="Q198" s="168" t="s">
        <v>1084</v>
      </c>
      <c r="R198" s="56">
        <v>238081</v>
      </c>
      <c r="S198" s="113">
        <f>R198*$T$352</f>
        <v>114235692.76888655</v>
      </c>
      <c r="T198" s="168"/>
      <c r="U198" s="213">
        <f>$Q$193*$T$193*S198/$R$222</f>
        <v>48.870985355461301</v>
      </c>
      <c r="V198" s="95">
        <f>S198+U198</f>
        <v>114235741.63987191</v>
      </c>
      <c r="W198" s="99">
        <f>R198*100/U349</f>
        <v>6.5161313807281731</v>
      </c>
      <c r="X198" s="115"/>
      <c r="AH198" s="99">
        <v>178</v>
      </c>
      <c r="AI198" s="113" t="s">
        <v>5318</v>
      </c>
      <c r="AJ198" s="113">
        <v>880000</v>
      </c>
      <c r="AK198" s="99">
        <v>4</v>
      </c>
      <c r="AL198" s="20">
        <f t="shared" si="61"/>
        <v>26</v>
      </c>
      <c r="AM198" s="117">
        <f t="shared" si="62"/>
        <v>22880000</v>
      </c>
      <c r="AN198" s="20"/>
    </row>
    <row r="199" spans="15:45">
      <c r="P199" s="114"/>
      <c r="Q199" s="168"/>
      <c r="R199" s="56"/>
      <c r="S199" s="168"/>
      <c r="T199" s="168"/>
      <c r="U199" s="168"/>
      <c r="V199" s="168"/>
      <c r="W199" s="99"/>
      <c r="X199" s="96"/>
      <c r="AH199" s="99">
        <v>179</v>
      </c>
      <c r="AI199" s="113" t="s">
        <v>5323</v>
      </c>
      <c r="AJ199" s="113">
        <v>-900000</v>
      </c>
      <c r="AK199" s="99">
        <v>1</v>
      </c>
      <c r="AL199" s="20">
        <f t="shared" si="61"/>
        <v>22</v>
      </c>
      <c r="AM199" s="117">
        <f t="shared" si="62"/>
        <v>-19800000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21</v>
      </c>
      <c r="AM200" s="117">
        <f t="shared" si="62"/>
        <v>-73500000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20</v>
      </c>
      <c r="AM201" s="117">
        <f t="shared" si="62"/>
        <v>-32000000</v>
      </c>
      <c r="AN201" s="20"/>
      <c r="AQ201" t="s">
        <v>25</v>
      </c>
    </row>
    <row r="202" spans="15:45">
      <c r="Q202" s="99"/>
      <c r="R202" s="99"/>
      <c r="S202" s="99"/>
      <c r="T202" s="99"/>
      <c r="U202" s="99"/>
      <c r="V202" s="99"/>
      <c r="W202" s="99"/>
      <c r="X202" s="96"/>
      <c r="AH202" s="99">
        <v>182</v>
      </c>
      <c r="AI202" s="113" t="s">
        <v>5335</v>
      </c>
      <c r="AJ202" s="113">
        <v>-800000</v>
      </c>
      <c r="AK202" s="99">
        <v>7</v>
      </c>
      <c r="AL202" s="20">
        <f t="shared" si="61"/>
        <v>19</v>
      </c>
      <c r="AM202" s="117">
        <f t="shared" si="62"/>
        <v>-15200000</v>
      </c>
      <c r="AN202" s="20"/>
    </row>
    <row r="203" spans="15:45">
      <c r="Q203" s="99"/>
      <c r="R203" s="99"/>
      <c r="S203" s="99"/>
      <c r="T203" s="99"/>
      <c r="U203" s="99"/>
      <c r="V203" s="99"/>
      <c r="W203" s="99"/>
      <c r="X203" s="96"/>
      <c r="AH203" s="99">
        <v>183</v>
      </c>
      <c r="AI203" s="113" t="s">
        <v>5350</v>
      </c>
      <c r="AJ203" s="113">
        <v>50000</v>
      </c>
      <c r="AK203" s="99">
        <v>2</v>
      </c>
      <c r="AL203" s="20">
        <f t="shared" si="61"/>
        <v>12</v>
      </c>
      <c r="AM203" s="117">
        <f t="shared" si="62"/>
        <v>600000</v>
      </c>
      <c r="AN203" s="20"/>
    </row>
    <row r="204" spans="15:45">
      <c r="P204" s="114"/>
      <c r="Q204" s="96"/>
      <c r="R204" s="96"/>
      <c r="S204" s="96"/>
      <c r="T204" s="96"/>
      <c r="V204" s="96"/>
      <c r="X204" s="115"/>
      <c r="AH204" s="99">
        <v>184</v>
      </c>
      <c r="AI204" s="113" t="s">
        <v>5353</v>
      </c>
      <c r="AJ204" s="113">
        <v>400000</v>
      </c>
      <c r="AK204" s="99">
        <v>8</v>
      </c>
      <c r="AL204" s="20">
        <f t="shared" ref="AL204:AL215" si="64">AL205+AK204</f>
        <v>10</v>
      </c>
      <c r="AM204" s="117">
        <f t="shared" ref="AM204:AM215" si="65">AJ204*AL204</f>
        <v>4000000</v>
      </c>
      <c r="AN204" s="20"/>
      <c r="AR204" t="s">
        <v>25</v>
      </c>
    </row>
    <row r="205" spans="15:45">
      <c r="P205" s="114"/>
      <c r="Q205" s="99" t="s">
        <v>5034</v>
      </c>
      <c r="R205" s="95">
        <f>S195-R210</f>
        <v>214483858.76929569</v>
      </c>
      <c r="S205" s="96"/>
      <c r="T205" s="96"/>
      <c r="V205" s="96"/>
      <c r="AH205" s="99">
        <v>185</v>
      </c>
      <c r="AI205" s="113" t="s">
        <v>5310</v>
      </c>
      <c r="AJ205" s="113">
        <v>-10000000</v>
      </c>
      <c r="AK205" s="99">
        <v>0</v>
      </c>
      <c r="AL205" s="20">
        <f t="shared" si="64"/>
        <v>2</v>
      </c>
      <c r="AM205" s="117">
        <f t="shared" si="65"/>
        <v>-20000000</v>
      </c>
      <c r="AN205" s="20" t="s">
        <v>5092</v>
      </c>
    </row>
    <row r="206" spans="15:45">
      <c r="Q206" s="99" t="s">
        <v>5035</v>
      </c>
      <c r="R206" s="95">
        <f>S198+S197-R211</f>
        <v>10867718.100265503</v>
      </c>
      <c r="S206" s="96"/>
      <c r="T206" s="96" t="s">
        <v>25</v>
      </c>
      <c r="V206" s="96"/>
      <c r="AH206" s="99">
        <v>186</v>
      </c>
      <c r="AI206" s="113" t="s">
        <v>5310</v>
      </c>
      <c r="AJ206" s="113">
        <v>3000000</v>
      </c>
      <c r="AK206" s="99">
        <v>1</v>
      </c>
      <c r="AL206" s="20">
        <f t="shared" si="64"/>
        <v>2</v>
      </c>
      <c r="AM206" s="117">
        <f t="shared" si="65"/>
        <v>6000000</v>
      </c>
      <c r="AN206" s="20"/>
    </row>
    <row r="207" spans="15:45">
      <c r="P207" s="114"/>
      <c r="Q207" s="96"/>
      <c r="R207" s="96"/>
      <c r="S207" s="96"/>
      <c r="T207" s="96"/>
      <c r="V207" s="96"/>
      <c r="AH207" s="99">
        <v>187</v>
      </c>
      <c r="AI207" s="113" t="s">
        <v>5376</v>
      </c>
      <c r="AJ207" s="113">
        <v>500000</v>
      </c>
      <c r="AK207" s="99">
        <v>1</v>
      </c>
      <c r="AL207" s="20">
        <f t="shared" si="64"/>
        <v>1</v>
      </c>
      <c r="AM207" s="117">
        <f t="shared" si="65"/>
        <v>500000</v>
      </c>
      <c r="AN207" s="20"/>
      <c r="AR207" t="s">
        <v>25</v>
      </c>
    </row>
    <row r="208" spans="15:45">
      <c r="Q208" s="96"/>
      <c r="R208" s="96"/>
      <c r="S208" s="96"/>
      <c r="T208" s="99" t="s">
        <v>180</v>
      </c>
      <c r="U208" s="99" t="s">
        <v>4470</v>
      </c>
      <c r="V208" s="99" t="s">
        <v>4471</v>
      </c>
      <c r="W208" s="99" t="s">
        <v>4481</v>
      </c>
      <c r="X208" s="99" t="s">
        <v>8</v>
      </c>
      <c r="AH208" s="99">
        <v>188</v>
      </c>
      <c r="AI208" s="113" t="s">
        <v>5390</v>
      </c>
      <c r="AJ208" s="113"/>
      <c r="AK208" s="99"/>
      <c r="AL208" s="20">
        <f t="shared" si="64"/>
        <v>0</v>
      </c>
      <c r="AM208" s="117">
        <f t="shared" si="65"/>
        <v>0</v>
      </c>
      <c r="AN208" s="20"/>
      <c r="AR208" t="s">
        <v>25</v>
      </c>
    </row>
    <row r="209" spans="16:45">
      <c r="Q209" s="36" t="s">
        <v>4556</v>
      </c>
      <c r="R209" s="95">
        <f>SUM(N44:N49)</f>
        <v>997357325.79999995</v>
      </c>
      <c r="T209" s="113" t="s">
        <v>4447</v>
      </c>
      <c r="U209" s="56">
        <v>1000000</v>
      </c>
      <c r="V209" s="113">
        <v>239.024</v>
      </c>
      <c r="W209" s="113">
        <f t="shared" ref="W209:W310" si="66">U209*V209</f>
        <v>239024000</v>
      </c>
      <c r="X209" s="99"/>
      <c r="AH209" s="99">
        <v>189</v>
      </c>
      <c r="AI209" s="113"/>
      <c r="AJ209" s="113"/>
      <c r="AK209" s="99"/>
      <c r="AL209" s="20">
        <f t="shared" si="64"/>
        <v>0</v>
      </c>
      <c r="AM209" s="117">
        <f t="shared" si="65"/>
        <v>0</v>
      </c>
      <c r="AN209" s="20"/>
      <c r="AP209" t="s">
        <v>25</v>
      </c>
    </row>
    <row r="210" spans="16:45">
      <c r="P210" s="114"/>
      <c r="Q210" s="99" t="s">
        <v>4438</v>
      </c>
      <c r="R210" s="95">
        <f>SUM(N21:N25)</f>
        <v>626681815.39999998</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127546993.69999999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0</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Q215" s="99" t="s">
        <v>5327</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1425820</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5208</v>
      </c>
      <c r="R217" s="95">
        <v>0</v>
      </c>
      <c r="T217" s="168" t="s">
        <v>4222</v>
      </c>
      <c r="U217" s="168">
        <v>29041</v>
      </c>
      <c r="V217" s="113">
        <v>233.45</v>
      </c>
      <c r="W217" s="113">
        <f t="shared" si="66"/>
        <v>6779621.4499999993</v>
      </c>
      <c r="X217" s="99" t="s">
        <v>750</v>
      </c>
      <c r="AH217" s="99"/>
      <c r="AI217" s="99"/>
      <c r="AJ217" s="95">
        <f>SUM(AJ20:AJ216)</f>
        <v>490830059</v>
      </c>
      <c r="AK217" s="99"/>
      <c r="AL217" s="99"/>
      <c r="AM217" s="95">
        <f>SUM(AM20:AM216)</f>
        <v>178164285440</v>
      </c>
      <c r="AN217" s="95">
        <f>AM217*AN220/31</f>
        <v>95789165.981563881</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f>R216+268952</f>
        <v>1694772</v>
      </c>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5209</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1753121385.8999999</v>
      </c>
      <c r="T222" s="168" t="s">
        <v>4614</v>
      </c>
      <c r="U222" s="168">
        <v>172025</v>
      </c>
      <c r="V222" s="113">
        <v>245.52809999999999</v>
      </c>
      <c r="W222" s="113">
        <f t="shared" si="66"/>
        <v>42236971.402499996</v>
      </c>
      <c r="X222" s="99" t="s">
        <v>452</v>
      </c>
      <c r="AH222" s="99"/>
      <c r="AI222" s="99" t="s">
        <v>4058</v>
      </c>
      <c r="AJ222" s="95">
        <f>AJ217+AN217</f>
        <v>586619224.98156393</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997357325.79999995</v>
      </c>
      <c r="AM223" t="s">
        <v>25</v>
      </c>
    </row>
    <row r="224" spans="16:45">
      <c r="T224" s="168" t="s">
        <v>4615</v>
      </c>
      <c r="U224" s="168">
        <v>79720</v>
      </c>
      <c r="V224" s="113">
        <v>246.6568</v>
      </c>
      <c r="W224" s="113">
        <f t="shared" si="66"/>
        <v>19663480.096000001</v>
      </c>
      <c r="X224" s="99" t="s">
        <v>452</v>
      </c>
      <c r="Z224" t="s">
        <v>25</v>
      </c>
      <c r="AI224" t="s">
        <v>4133</v>
      </c>
      <c r="AJ224" s="114">
        <f>AJ223-AJ217</f>
        <v>506527266.79999995</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95789165.981563881</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410738100.81843603</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5204</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5244</v>
      </c>
      <c r="R242" s="149" t="s">
        <v>5240</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5278</v>
      </c>
      <c r="R243" s="149" t="s">
        <v>5275</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5281</v>
      </c>
      <c r="R244" s="149" t="s">
        <v>5280</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5291</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5324</v>
      </c>
      <c r="R246" s="195" t="s">
        <v>5323</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5350</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5363</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5382</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5195</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5200</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5211</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5247</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5291</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5350</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5363</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5382</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5202</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5203</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5179</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5195</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5200</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5211</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5213</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5222</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5228</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5229</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5231</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5231</v>
      </c>
      <c r="U318" s="213">
        <v>9191</v>
      </c>
      <c r="V318" s="113">
        <v>440.24630000000002</v>
      </c>
      <c r="W318" s="113">
        <f t="shared" si="81"/>
        <v>4046303.7433000002</v>
      </c>
      <c r="X318" s="36" t="s">
        <v>5234</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5236</v>
      </c>
      <c r="U319" s="213">
        <v>-8792</v>
      </c>
      <c r="V319" s="113">
        <v>441.90665999999999</v>
      </c>
      <c r="W319" s="113">
        <f t="shared" si="81"/>
        <v>-3885243.3547199997</v>
      </c>
      <c r="X319" s="36" t="s">
        <v>5237</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5241</v>
      </c>
      <c r="U320" s="213">
        <v>24374</v>
      </c>
      <c r="V320" s="113">
        <v>471.81700000000001</v>
      </c>
      <c r="W320" s="113">
        <f t="shared" si="81"/>
        <v>11500067.558</v>
      </c>
      <c r="X320" s="36" t="s">
        <v>5245</v>
      </c>
      <c r="AH320" s="20">
        <v>87</v>
      </c>
      <c r="AI320" s="20" t="s">
        <v>5143</v>
      </c>
      <c r="AJ320" s="117">
        <v>500000</v>
      </c>
      <c r="AK320" s="20">
        <v>3</v>
      </c>
      <c r="AL320" s="20">
        <f t="shared" si="82"/>
        <v>97</v>
      </c>
      <c r="AM320" s="20">
        <f t="shared" si="83"/>
        <v>48500000</v>
      </c>
      <c r="AN320" s="20"/>
    </row>
    <row r="321" spans="17:44">
      <c r="Q321" s="99" t="s">
        <v>4744</v>
      </c>
      <c r="R321" s="95">
        <v>50000000</v>
      </c>
      <c r="T321" s="213" t="s">
        <v>5247</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5247</v>
      </c>
      <c r="U322" s="213">
        <v>12</v>
      </c>
      <c r="V322" s="113">
        <v>481.86</v>
      </c>
      <c r="W322" s="113">
        <f t="shared" si="81"/>
        <v>5782.32</v>
      </c>
      <c r="X322" s="36" t="s">
        <v>5252</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5275</v>
      </c>
      <c r="U323" s="213">
        <v>12330</v>
      </c>
      <c r="V323" s="113">
        <v>486.63443869999998</v>
      </c>
      <c r="W323" s="113">
        <f t="shared" si="81"/>
        <v>6000202.6291709999</v>
      </c>
      <c r="X323" s="36" t="s">
        <v>5245</v>
      </c>
      <c r="AH323" s="20">
        <v>90</v>
      </c>
      <c r="AI323" s="20" t="s">
        <v>5172</v>
      </c>
      <c r="AJ323" s="117">
        <v>312598</v>
      </c>
      <c r="AK323" s="20">
        <v>0</v>
      </c>
      <c r="AL323" s="20">
        <f t="shared" si="82"/>
        <v>78</v>
      </c>
      <c r="AM323" s="20">
        <f t="shared" si="83"/>
        <v>24382644</v>
      </c>
      <c r="AN323" s="20"/>
    </row>
    <row r="324" spans="17:44">
      <c r="Q324" s="99" t="s">
        <v>4820</v>
      </c>
      <c r="R324" s="95">
        <v>2250000</v>
      </c>
      <c r="T324" s="213" t="s">
        <v>5280</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5280</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5286</v>
      </c>
      <c r="U326" s="213">
        <v>191</v>
      </c>
      <c r="V326" s="113">
        <v>484.572</v>
      </c>
      <c r="W326" s="113">
        <f t="shared" si="81"/>
        <v>92553.252000000008</v>
      </c>
      <c r="X326" s="36" t="s">
        <v>5287</v>
      </c>
      <c r="AH326" s="20">
        <v>93</v>
      </c>
      <c r="AI326" s="20" t="s">
        <v>5129</v>
      </c>
      <c r="AJ326" s="117">
        <v>300000</v>
      </c>
      <c r="AK326" s="20">
        <v>0</v>
      </c>
      <c r="AL326" s="20">
        <f t="shared" si="82"/>
        <v>77</v>
      </c>
      <c r="AM326" s="20">
        <f t="shared" si="83"/>
        <v>23100000</v>
      </c>
      <c r="AN326" s="20"/>
    </row>
    <row r="327" spans="17:44">
      <c r="Q327" s="99" t="s">
        <v>979</v>
      </c>
      <c r="R327" s="95">
        <v>1100000</v>
      </c>
      <c r="T327" s="213" t="s">
        <v>5286</v>
      </c>
      <c r="U327" s="213">
        <v>-206</v>
      </c>
      <c r="V327" s="113">
        <v>484.572</v>
      </c>
      <c r="W327" s="113">
        <f t="shared" si="81"/>
        <v>-99821.831999999995</v>
      </c>
      <c r="X327" s="36" t="s">
        <v>5289</v>
      </c>
      <c r="AH327" s="20">
        <v>94</v>
      </c>
      <c r="AI327" s="20" t="s">
        <v>5129</v>
      </c>
      <c r="AJ327" s="117">
        <v>8660000</v>
      </c>
      <c r="AK327" s="20">
        <v>8</v>
      </c>
      <c r="AL327" s="20">
        <f t="shared" si="82"/>
        <v>77</v>
      </c>
      <c r="AM327" s="20">
        <f t="shared" si="83"/>
        <v>666820000</v>
      </c>
      <c r="AN327" s="20"/>
    </row>
    <row r="328" spans="17:44">
      <c r="Q328" s="99" t="s">
        <v>4841</v>
      </c>
      <c r="R328" s="95">
        <v>890000</v>
      </c>
      <c r="T328" s="213" t="s">
        <v>5291</v>
      </c>
      <c r="U328" s="213">
        <v>20685</v>
      </c>
      <c r="V328" s="113">
        <v>483.43312200000003</v>
      </c>
      <c r="W328" s="113">
        <f t="shared" si="81"/>
        <v>9999814.1285699997</v>
      </c>
      <c r="X328" s="36" t="s">
        <v>5296</v>
      </c>
      <c r="AH328" s="149">
        <v>95</v>
      </c>
      <c r="AI328" s="149" t="s">
        <v>5195</v>
      </c>
      <c r="AJ328" s="188">
        <v>200000</v>
      </c>
      <c r="AK328" s="149">
        <v>3</v>
      </c>
      <c r="AL328" s="149">
        <f t="shared" si="82"/>
        <v>69</v>
      </c>
      <c r="AM328" s="149">
        <f t="shared" si="83"/>
        <v>13800000</v>
      </c>
      <c r="AN328" s="149"/>
    </row>
    <row r="329" spans="17:44">
      <c r="Q329" s="99" t="s">
        <v>4861</v>
      </c>
      <c r="R329" s="95">
        <v>1000000</v>
      </c>
      <c r="T329" s="213" t="s">
        <v>5291</v>
      </c>
      <c r="U329" s="213">
        <v>-413</v>
      </c>
      <c r="V329" s="113">
        <v>483.40199999999999</v>
      </c>
      <c r="W329" s="113">
        <f t="shared" si="81"/>
        <v>-199645.02599999998</v>
      </c>
      <c r="X329" s="36" t="s">
        <v>4436</v>
      </c>
      <c r="AH329" s="149">
        <v>96</v>
      </c>
      <c r="AI329" s="149" t="s">
        <v>5200</v>
      </c>
      <c r="AJ329" s="188">
        <v>20000</v>
      </c>
      <c r="AK329" s="149">
        <v>1</v>
      </c>
      <c r="AL329" s="149">
        <f t="shared" si="82"/>
        <v>66</v>
      </c>
      <c r="AM329" s="149">
        <f t="shared" si="83"/>
        <v>1320000</v>
      </c>
      <c r="AN329" s="149"/>
    </row>
    <row r="330" spans="17:44">
      <c r="Q330" s="99" t="s">
        <v>4862</v>
      </c>
      <c r="R330" s="95">
        <v>45436311</v>
      </c>
      <c r="T330" s="213" t="s">
        <v>5291</v>
      </c>
      <c r="U330" s="213">
        <v>413</v>
      </c>
      <c r="V330" s="113">
        <v>483.40199999999999</v>
      </c>
      <c r="W330" s="113">
        <f t="shared" si="81"/>
        <v>199645.02599999998</v>
      </c>
      <c r="X330" s="36" t="s">
        <v>750</v>
      </c>
      <c r="AH330" s="20">
        <v>97</v>
      </c>
      <c r="AI330" s="20" t="s">
        <v>5211</v>
      </c>
      <c r="AJ330" s="117">
        <v>14340000</v>
      </c>
      <c r="AK330" s="20">
        <v>7</v>
      </c>
      <c r="AL330" s="20">
        <f t="shared" si="82"/>
        <v>65</v>
      </c>
      <c r="AM330" s="20">
        <f t="shared" si="83"/>
        <v>932100000</v>
      </c>
      <c r="AN330" s="20"/>
    </row>
    <row r="331" spans="17:44">
      <c r="Q331" s="99" t="s">
        <v>4862</v>
      </c>
      <c r="R331" s="95">
        <v>-3500000</v>
      </c>
      <c r="T331" s="213" t="s">
        <v>5300</v>
      </c>
      <c r="U331" s="213">
        <v>-828</v>
      </c>
      <c r="V331" s="113">
        <v>483.43312200000003</v>
      </c>
      <c r="W331" s="113">
        <f t="shared" si="81"/>
        <v>-400282.62501600001</v>
      </c>
      <c r="X331" s="36" t="s">
        <v>452</v>
      </c>
      <c r="AH331" s="20">
        <v>98</v>
      </c>
      <c r="AI331" s="20" t="s">
        <v>5222</v>
      </c>
      <c r="AJ331" s="117">
        <v>10000000</v>
      </c>
      <c r="AK331" s="20">
        <v>6</v>
      </c>
      <c r="AL331" s="20">
        <f t="shared" si="82"/>
        <v>58</v>
      </c>
      <c r="AM331" s="20">
        <f t="shared" si="83"/>
        <v>580000000</v>
      </c>
      <c r="AN331" s="20" t="s">
        <v>4746</v>
      </c>
    </row>
    <row r="332" spans="17:44">
      <c r="Q332" s="99" t="s">
        <v>4875</v>
      </c>
      <c r="R332" s="95">
        <v>2520000</v>
      </c>
      <c r="T332" s="213" t="s">
        <v>5307</v>
      </c>
      <c r="U332" s="213">
        <v>12</v>
      </c>
      <c r="V332" s="113">
        <v>473.61898300000001</v>
      </c>
      <c r="W332" s="113">
        <f t="shared" si="81"/>
        <v>5683.4277959999999</v>
      </c>
      <c r="X332" s="36" t="s">
        <v>452</v>
      </c>
      <c r="Z332" t="s">
        <v>25</v>
      </c>
      <c r="AH332" s="20">
        <v>99</v>
      </c>
      <c r="AI332" s="20" t="s">
        <v>5231</v>
      </c>
      <c r="AJ332" s="117">
        <v>4033949</v>
      </c>
      <c r="AK332" s="20">
        <v>2</v>
      </c>
      <c r="AL332" s="20">
        <f t="shared" si="82"/>
        <v>52</v>
      </c>
      <c r="AM332" s="20">
        <f t="shared" si="83"/>
        <v>209765348</v>
      </c>
      <c r="AN332" s="20" t="s">
        <v>5235</v>
      </c>
      <c r="AR332" t="s">
        <v>25</v>
      </c>
    </row>
    <row r="333" spans="17:44">
      <c r="Q333" s="99" t="s">
        <v>4910</v>
      </c>
      <c r="R333" s="95">
        <v>4900000</v>
      </c>
      <c r="S333" s="114"/>
      <c r="T333" s="213" t="s">
        <v>5311</v>
      </c>
      <c r="U333" s="213">
        <v>963</v>
      </c>
      <c r="V333" s="113">
        <v>477.92200000000003</v>
      </c>
      <c r="W333" s="113">
        <f t="shared" si="81"/>
        <v>460238.886</v>
      </c>
      <c r="X333" s="36" t="s">
        <v>452</v>
      </c>
      <c r="AH333" s="149">
        <v>100</v>
      </c>
      <c r="AI333" s="149" t="s">
        <v>5240</v>
      </c>
      <c r="AJ333" s="188">
        <v>11500000</v>
      </c>
      <c r="AK333" s="149">
        <v>2</v>
      </c>
      <c r="AL333" s="149">
        <f t="shared" si="82"/>
        <v>50</v>
      </c>
      <c r="AM333" s="149">
        <f t="shared" si="83"/>
        <v>575000000</v>
      </c>
      <c r="AN333" s="149" t="s">
        <v>5243</v>
      </c>
    </row>
    <row r="334" spans="17:44">
      <c r="Q334" s="99" t="s">
        <v>4931</v>
      </c>
      <c r="R334" s="95">
        <v>1150000</v>
      </c>
      <c r="T334" s="213" t="s">
        <v>5312</v>
      </c>
      <c r="U334" s="213">
        <v>2815</v>
      </c>
      <c r="V334" s="113">
        <v>461.79</v>
      </c>
      <c r="W334" s="113">
        <f t="shared" si="81"/>
        <v>1299938.8500000001</v>
      </c>
      <c r="X334" s="36" t="s">
        <v>452</v>
      </c>
      <c r="AH334" s="149">
        <v>101</v>
      </c>
      <c r="AI334" s="149" t="s">
        <v>5247</v>
      </c>
      <c r="AJ334" s="188">
        <v>250000</v>
      </c>
      <c r="AK334" s="149">
        <v>3</v>
      </c>
      <c r="AL334" s="149">
        <f t="shared" si="82"/>
        <v>48</v>
      </c>
      <c r="AM334" s="149">
        <f t="shared" si="83"/>
        <v>12000000</v>
      </c>
      <c r="AN334" s="149"/>
    </row>
    <row r="335" spans="17:44">
      <c r="Q335" s="99" t="s">
        <v>4882</v>
      </c>
      <c r="R335" s="95">
        <v>250000</v>
      </c>
      <c r="T335" s="213" t="s">
        <v>5312</v>
      </c>
      <c r="U335" s="213">
        <v>1581</v>
      </c>
      <c r="V335" s="113">
        <v>461.79</v>
      </c>
      <c r="W335" s="113">
        <f t="shared" si="81"/>
        <v>730089.99</v>
      </c>
      <c r="X335" s="36" t="s">
        <v>452</v>
      </c>
      <c r="AH335" s="149">
        <v>102</v>
      </c>
      <c r="AI335" s="149" t="s">
        <v>5275</v>
      </c>
      <c r="AJ335" s="188">
        <v>6000000</v>
      </c>
      <c r="AK335" s="149">
        <v>1</v>
      </c>
      <c r="AL335" s="149">
        <f t="shared" si="82"/>
        <v>45</v>
      </c>
      <c r="AM335" s="149">
        <f t="shared" si="83"/>
        <v>270000000</v>
      </c>
      <c r="AN335" s="149" t="s">
        <v>5243</v>
      </c>
    </row>
    <row r="336" spans="17:44">
      <c r="Q336" s="99" t="s">
        <v>4972</v>
      </c>
      <c r="R336" s="95">
        <v>1403460</v>
      </c>
      <c r="T336" s="213" t="s">
        <v>5323</v>
      </c>
      <c r="U336" s="213">
        <v>1916</v>
      </c>
      <c r="V336" s="113">
        <v>521.70000000000005</v>
      </c>
      <c r="W336" s="113">
        <f t="shared" si="81"/>
        <v>999577.20000000007</v>
      </c>
      <c r="X336" s="36" t="s">
        <v>1084</v>
      </c>
      <c r="AH336" s="149">
        <v>103</v>
      </c>
      <c r="AI336" s="149" t="s">
        <v>5280</v>
      </c>
      <c r="AJ336" s="188">
        <v>1500000</v>
      </c>
      <c r="AK336" s="149">
        <v>6</v>
      </c>
      <c r="AL336" s="149">
        <f t="shared" si="82"/>
        <v>44</v>
      </c>
      <c r="AM336" s="149">
        <f t="shared" si="83"/>
        <v>66000000</v>
      </c>
      <c r="AN336" s="149" t="s">
        <v>5243</v>
      </c>
      <c r="AR336" t="s">
        <v>25</v>
      </c>
    </row>
    <row r="337" spans="17:46">
      <c r="Q337" s="99" t="s">
        <v>4977</v>
      </c>
      <c r="R337" s="95">
        <v>200000</v>
      </c>
      <c r="T337" s="213" t="s">
        <v>990</v>
      </c>
      <c r="U337" s="213">
        <v>41</v>
      </c>
      <c r="V337" s="113">
        <v>514.48099999999999</v>
      </c>
      <c r="W337" s="113">
        <f t="shared" si="81"/>
        <v>21093.721000000001</v>
      </c>
      <c r="X337" s="36" t="s">
        <v>5287</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5287</v>
      </c>
      <c r="AH338" s="20">
        <v>105</v>
      </c>
      <c r="AI338" s="20" t="s">
        <v>5311</v>
      </c>
      <c r="AJ338" s="117">
        <v>230000</v>
      </c>
      <c r="AK338" s="20">
        <v>0</v>
      </c>
      <c r="AL338" s="20">
        <f t="shared" si="82"/>
        <v>36</v>
      </c>
      <c r="AM338" s="20">
        <f t="shared" si="83"/>
        <v>8280000</v>
      </c>
      <c r="AN338" s="20"/>
      <c r="AR338" t="s">
        <v>25</v>
      </c>
      <c r="AT338" s="96" t="s">
        <v>25</v>
      </c>
    </row>
    <row r="339" spans="17:46">
      <c r="Q339" s="99" t="s">
        <v>4988</v>
      </c>
      <c r="R339" s="95">
        <v>900000</v>
      </c>
      <c r="T339" s="213" t="s">
        <v>5350</v>
      </c>
      <c r="U339" s="213">
        <v>-250</v>
      </c>
      <c r="V339" s="113">
        <v>487.125</v>
      </c>
      <c r="W339" s="113">
        <f t="shared" si="81"/>
        <v>-121781.25</v>
      </c>
      <c r="X339" s="36" t="s">
        <v>4436</v>
      </c>
      <c r="AH339" s="149">
        <v>106</v>
      </c>
      <c r="AI339" s="149" t="s">
        <v>5311</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5350</v>
      </c>
      <c r="U340" s="213">
        <v>250</v>
      </c>
      <c r="V340" s="113">
        <v>487.125</v>
      </c>
      <c r="W340" s="113">
        <f t="shared" si="81"/>
        <v>121781.25</v>
      </c>
      <c r="X340" s="36" t="s">
        <v>750</v>
      </c>
      <c r="AH340" s="149">
        <v>107</v>
      </c>
      <c r="AI340" s="149" t="s">
        <v>5312</v>
      </c>
      <c r="AJ340" s="188">
        <v>500000</v>
      </c>
      <c r="AK340" s="149">
        <v>1</v>
      </c>
      <c r="AL340" s="149">
        <f t="shared" si="84"/>
        <v>35</v>
      </c>
      <c r="AM340" s="149">
        <f t="shared" si="85"/>
        <v>17500000</v>
      </c>
      <c r="AN340" s="149"/>
    </row>
    <row r="341" spans="17:46">
      <c r="Q341" s="99" t="s">
        <v>5003</v>
      </c>
      <c r="R341" s="95">
        <v>6489257</v>
      </c>
      <c r="T341" s="213" t="s">
        <v>5363</v>
      </c>
      <c r="U341" s="213">
        <v>-1439</v>
      </c>
      <c r="V341" s="113">
        <v>486.53068999999999</v>
      </c>
      <c r="W341" s="113">
        <f t="shared" si="81"/>
        <v>-700117.66290999996</v>
      </c>
      <c r="X341" s="36" t="s">
        <v>4436</v>
      </c>
      <c r="AH341" s="20">
        <v>108</v>
      </c>
      <c r="AI341" s="20" t="s">
        <v>5318</v>
      </c>
      <c r="AJ341" s="117">
        <v>-880000</v>
      </c>
      <c r="AK341" s="20">
        <v>4</v>
      </c>
      <c r="AL341" s="20">
        <f t="shared" si="84"/>
        <v>34</v>
      </c>
      <c r="AM341" s="20">
        <f t="shared" si="85"/>
        <v>-29920000</v>
      </c>
      <c r="AN341" s="20"/>
    </row>
    <row r="342" spans="17:46">
      <c r="Q342" s="99" t="s">
        <v>5056</v>
      </c>
      <c r="R342" s="95">
        <v>618000</v>
      </c>
      <c r="T342" s="213" t="s">
        <v>5363</v>
      </c>
      <c r="U342" s="213">
        <v>411</v>
      </c>
      <c r="V342" s="113">
        <v>486.53068999999999</v>
      </c>
      <c r="W342" s="113">
        <f t="shared" si="81"/>
        <v>199964.11358999999</v>
      </c>
      <c r="X342" s="36" t="s">
        <v>750</v>
      </c>
      <c r="AH342" s="195">
        <v>109</v>
      </c>
      <c r="AI342" s="195" t="s">
        <v>5323</v>
      </c>
      <c r="AJ342" s="196">
        <v>873000</v>
      </c>
      <c r="AK342" s="195">
        <v>0</v>
      </c>
      <c r="AL342" s="195">
        <f t="shared" si="84"/>
        <v>30</v>
      </c>
      <c r="AM342" s="195">
        <f t="shared" si="85"/>
        <v>26190000</v>
      </c>
      <c r="AN342" s="195" t="s">
        <v>5243</v>
      </c>
    </row>
    <row r="343" spans="17:46">
      <c r="Q343" s="99" t="s">
        <v>5070</v>
      </c>
      <c r="R343" s="95">
        <v>20105000</v>
      </c>
      <c r="T343" s="213" t="s">
        <v>5310</v>
      </c>
      <c r="U343" s="213">
        <v>-4290</v>
      </c>
      <c r="V343" s="113">
        <v>497.57670000000002</v>
      </c>
      <c r="W343" s="113">
        <f t="shared" si="81"/>
        <v>-2134604.0430000001</v>
      </c>
      <c r="X343" s="36" t="s">
        <v>452</v>
      </c>
      <c r="AH343" s="20">
        <v>110</v>
      </c>
      <c r="AI343" s="20" t="s">
        <v>5323</v>
      </c>
      <c r="AJ343" s="117">
        <v>127000</v>
      </c>
      <c r="AK343" s="20">
        <v>0</v>
      </c>
      <c r="AL343" s="20">
        <f t="shared" si="84"/>
        <v>30</v>
      </c>
      <c r="AM343" s="20">
        <f t="shared" si="85"/>
        <v>3810000</v>
      </c>
      <c r="AN343" s="20" t="s">
        <v>5243</v>
      </c>
    </row>
    <row r="344" spans="17:46">
      <c r="Q344" s="99" t="s">
        <v>5075</v>
      </c>
      <c r="R344" s="95">
        <v>-21079990</v>
      </c>
      <c r="T344" s="213" t="s">
        <v>5378</v>
      </c>
      <c r="U344" s="213">
        <v>-644</v>
      </c>
      <c r="V344" s="113">
        <v>494.76464499999997</v>
      </c>
      <c r="W344" s="113">
        <f t="shared" si="81"/>
        <v>-318628.43137999997</v>
      </c>
      <c r="X344" s="36" t="s">
        <v>452</v>
      </c>
      <c r="AH344" s="20">
        <v>111</v>
      </c>
      <c r="AI344" s="20" t="s">
        <v>5323</v>
      </c>
      <c r="AJ344" s="117">
        <v>73000</v>
      </c>
      <c r="AK344" s="20">
        <v>1</v>
      </c>
      <c r="AL344" s="20">
        <f t="shared" ref="AL344:AL348" si="86">AK344+AL345</f>
        <v>30</v>
      </c>
      <c r="AM344" s="20">
        <f t="shared" ref="AM344:AM348" si="87">AJ344*AL344</f>
        <v>2190000</v>
      </c>
      <c r="AN344" s="20"/>
    </row>
    <row r="345" spans="17:46">
      <c r="Q345" s="99" t="s">
        <v>5076</v>
      </c>
      <c r="R345" s="95">
        <v>-5949277</v>
      </c>
      <c r="T345" s="213" t="s">
        <v>5382</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5382</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5382</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5336</v>
      </c>
    </row>
    <row r="348" spans="17:46">
      <c r="Q348" s="99" t="s">
        <v>5090</v>
      </c>
      <c r="R348" s="95">
        <v>10000000</v>
      </c>
      <c r="T348" s="168"/>
      <c r="U348" s="168"/>
      <c r="V348" s="113"/>
      <c r="W348" s="113"/>
      <c r="X348" s="99"/>
      <c r="AH348" s="20">
        <v>115</v>
      </c>
      <c r="AI348" s="20" t="s">
        <v>5335</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5340</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5350</v>
      </c>
      <c r="AJ350" s="188">
        <v>50000</v>
      </c>
      <c r="AK350" s="149">
        <v>7</v>
      </c>
      <c r="AL350" s="149">
        <f t="shared" si="88"/>
        <v>20</v>
      </c>
      <c r="AM350" s="149">
        <f t="shared" si="89"/>
        <v>1000000</v>
      </c>
      <c r="AN350" s="149"/>
    </row>
    <row r="351" spans="17:46">
      <c r="Q351" s="99" t="s">
        <v>5116</v>
      </c>
      <c r="R351" s="95">
        <v>400000</v>
      </c>
      <c r="T351" s="200" t="s">
        <v>4472</v>
      </c>
      <c r="AH351" s="20">
        <v>118</v>
      </c>
      <c r="AI351" s="20" t="s">
        <v>5363</v>
      </c>
      <c r="AJ351" s="117">
        <v>-500000</v>
      </c>
      <c r="AK351" s="20">
        <v>12</v>
      </c>
      <c r="AL351" s="20">
        <f t="shared" si="88"/>
        <v>13</v>
      </c>
      <c r="AM351" s="20">
        <f t="shared" si="89"/>
        <v>-6500000</v>
      </c>
      <c r="AN351" s="20"/>
    </row>
    <row r="352" spans="17:46">
      <c r="Q352" s="99" t="s">
        <v>5123</v>
      </c>
      <c r="R352" s="95">
        <v>120000</v>
      </c>
      <c r="T352" s="199">
        <f>R222/U349</f>
        <v>479.81860278176987</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125.04725671774148</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5322</v>
      </c>
      <c r="W357" s="223"/>
      <c r="X357" s="96" t="s">
        <v>25</v>
      </c>
      <c r="Y357" t="s">
        <v>25</v>
      </c>
      <c r="AH357" s="20"/>
      <c r="AI357" s="20"/>
      <c r="AJ357" s="117"/>
      <c r="AK357" s="20"/>
      <c r="AL357" s="20">
        <f t="shared" si="88"/>
        <v>0</v>
      </c>
      <c r="AM357" s="20">
        <f t="shared" si="89"/>
        <v>0</v>
      </c>
      <c r="AN357" s="20"/>
    </row>
    <row r="358" spans="17:45">
      <c r="Q358" s="99" t="s">
        <v>5213</v>
      </c>
      <c r="R358" s="95">
        <v>3495</v>
      </c>
      <c r="W358" s="96" t="s">
        <v>25</v>
      </c>
      <c r="X358" t="s">
        <v>25</v>
      </c>
      <c r="AH358" s="20"/>
      <c r="AI358" s="20"/>
      <c r="AJ358" s="117"/>
      <c r="AK358" s="20"/>
      <c r="AL358" s="20">
        <f t="shared" si="88"/>
        <v>0</v>
      </c>
      <c r="AM358" s="20">
        <f t="shared" si="89"/>
        <v>0</v>
      </c>
      <c r="AN358" s="20"/>
      <c r="AS358" t="s">
        <v>25</v>
      </c>
    </row>
    <row r="359" spans="17:45">
      <c r="Q359" s="99" t="s">
        <v>5222</v>
      </c>
      <c r="R359" s="95">
        <v>6000000</v>
      </c>
      <c r="X359" t="s">
        <v>25</v>
      </c>
      <c r="Y359" t="s">
        <v>25</v>
      </c>
      <c r="AH359" s="20"/>
      <c r="AI359" s="20"/>
      <c r="AJ359" s="117"/>
      <c r="AK359" s="20"/>
      <c r="AL359" s="20">
        <f t="shared" si="88"/>
        <v>0</v>
      </c>
      <c r="AM359" s="20">
        <f t="shared" si="89"/>
        <v>0</v>
      </c>
      <c r="AN359" s="20"/>
    </row>
    <row r="360" spans="17:45" ht="60">
      <c r="Q360" s="99" t="s">
        <v>5228</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5229</v>
      </c>
      <c r="R361" s="95">
        <v>8249</v>
      </c>
      <c r="T361" s="22" t="s">
        <v>4457</v>
      </c>
      <c r="AH361" s="20"/>
      <c r="AI361" s="20"/>
      <c r="AJ361" s="117"/>
      <c r="AK361" s="20"/>
      <c r="AL361" s="20">
        <f t="shared" si="88"/>
        <v>0</v>
      </c>
      <c r="AM361" s="20">
        <f t="shared" si="89"/>
        <v>0</v>
      </c>
      <c r="AN361" s="20"/>
    </row>
    <row r="362" spans="17:45">
      <c r="Q362" s="99" t="s">
        <v>5231</v>
      </c>
      <c r="R362" s="95">
        <v>6937</v>
      </c>
      <c r="AH362" s="99"/>
      <c r="AI362" s="99"/>
      <c r="AJ362" s="117"/>
      <c r="AK362" s="99"/>
      <c r="AL362" s="20">
        <f t="shared" si="88"/>
        <v>0</v>
      </c>
      <c r="AM362" s="20">
        <f t="shared" si="89"/>
        <v>0</v>
      </c>
      <c r="AN362" s="20"/>
    </row>
    <row r="363" spans="17:45">
      <c r="Q363" s="99" t="s">
        <v>5231</v>
      </c>
      <c r="R363" s="95">
        <v>4046552</v>
      </c>
      <c r="AH363" s="99"/>
      <c r="AI363" s="99"/>
      <c r="AJ363" s="117"/>
      <c r="AK363" s="99"/>
      <c r="AL363" s="20">
        <f t="shared" si="82"/>
        <v>0</v>
      </c>
      <c r="AM363" s="20">
        <f t="shared" si="83"/>
        <v>0</v>
      </c>
      <c r="AN363" s="99"/>
    </row>
    <row r="364" spans="17:45">
      <c r="Q364" s="99" t="s">
        <v>5236</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5247</v>
      </c>
      <c r="R365" s="95">
        <v>6022</v>
      </c>
      <c r="T365" s="95">
        <f>S251+R298+R381</f>
        <v>928559366</v>
      </c>
      <c r="U365" s="95">
        <f>R222</f>
        <v>1753121385.8999999</v>
      </c>
      <c r="V365" s="95">
        <f>U365-T365</f>
        <v>824562019.89999986</v>
      </c>
      <c r="AJ365" t="s">
        <v>4056</v>
      </c>
      <c r="AM365" t="s">
        <v>284</v>
      </c>
      <c r="AN365" t="s">
        <v>941</v>
      </c>
    </row>
    <row r="366" spans="17:45">
      <c r="Q366" s="99" t="s">
        <v>5280</v>
      </c>
      <c r="R366" s="95">
        <v>400000</v>
      </c>
    </row>
    <row r="367" spans="17:45">
      <c r="Q367" s="99" t="s">
        <v>5286</v>
      </c>
      <c r="R367" s="95">
        <v>92847</v>
      </c>
      <c r="AI367" t="s">
        <v>4058</v>
      </c>
      <c r="AJ367" s="114">
        <f>AJ364+AN364</f>
        <v>507271534.00156701</v>
      </c>
    </row>
    <row r="368" spans="17:45">
      <c r="Q368" s="99" t="s">
        <v>5286</v>
      </c>
      <c r="R368" s="95">
        <v>-100000</v>
      </c>
      <c r="AI368" t="s">
        <v>4061</v>
      </c>
      <c r="AJ368" s="114">
        <f>SUM(N20:N31)</f>
        <v>754338240.10000002</v>
      </c>
    </row>
    <row r="369" spans="17:40">
      <c r="Q369" s="99" t="s">
        <v>5291</v>
      </c>
      <c r="R369" s="95">
        <v>10000000</v>
      </c>
      <c r="AI369" t="s">
        <v>4133</v>
      </c>
      <c r="AJ369" s="114">
        <f>AJ368-AJ364</f>
        <v>302250388.10000002</v>
      </c>
    </row>
    <row r="370" spans="17:40">
      <c r="Q370" s="99" t="s">
        <v>5300</v>
      </c>
      <c r="R370" s="95">
        <v>-400000</v>
      </c>
      <c r="T370" t="s">
        <v>25</v>
      </c>
      <c r="AI370" t="s">
        <v>941</v>
      </c>
      <c r="AJ370" s="114">
        <f>AN364</f>
        <v>55183682.001566999</v>
      </c>
    </row>
    <row r="371" spans="17:40">
      <c r="Q371" s="99" t="s">
        <v>5309</v>
      </c>
      <c r="R371" s="95">
        <v>5649</v>
      </c>
      <c r="T371" t="s">
        <v>25</v>
      </c>
      <c r="AI371" t="s">
        <v>4062</v>
      </c>
      <c r="AJ371" s="114">
        <f>AJ369-AJ370</f>
        <v>247066706.09843302</v>
      </c>
      <c r="AM371" t="s">
        <v>25</v>
      </c>
      <c r="AN371" t="s">
        <v>25</v>
      </c>
    </row>
    <row r="372" spans="17:40">
      <c r="Q372" s="99" t="s">
        <v>5311</v>
      </c>
      <c r="R372" s="95">
        <v>460000</v>
      </c>
      <c r="AN372" t="s">
        <v>25</v>
      </c>
    </row>
    <row r="373" spans="17:40">
      <c r="Q373" s="99" t="s">
        <v>5312</v>
      </c>
      <c r="R373" s="95">
        <v>1300000</v>
      </c>
      <c r="T373" t="s">
        <v>25</v>
      </c>
    </row>
    <row r="374" spans="17:40">
      <c r="Q374" s="99" t="s">
        <v>5312</v>
      </c>
      <c r="R374" s="95">
        <v>7300000</v>
      </c>
      <c r="T374" t="s">
        <v>25</v>
      </c>
    </row>
    <row r="375" spans="17:40">
      <c r="Q375" s="99" t="s">
        <v>990</v>
      </c>
      <c r="R375" s="95">
        <v>21203</v>
      </c>
      <c r="AN375" t="s">
        <v>25</v>
      </c>
    </row>
    <row r="376" spans="17:40">
      <c r="Q376" s="99" t="s">
        <v>4272</v>
      </c>
      <c r="R376" s="95">
        <v>34550</v>
      </c>
      <c r="AN376" t="s">
        <v>25</v>
      </c>
    </row>
    <row r="377" spans="17:40">
      <c r="Q377" s="99" t="s">
        <v>5310</v>
      </c>
      <c r="R377" s="95">
        <v>-2134406</v>
      </c>
      <c r="T377" t="s">
        <v>25</v>
      </c>
    </row>
    <row r="378" spans="17:40">
      <c r="Q378" s="99" t="s">
        <v>5378</v>
      </c>
      <c r="R378" s="95">
        <v>-618906</v>
      </c>
      <c r="T378" t="s">
        <v>25</v>
      </c>
    </row>
    <row r="379" spans="17:40">
      <c r="Q379" s="99" t="s">
        <v>5382</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Q236" sqref="Q23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5347</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5351</v>
      </c>
      <c r="J217" s="248">
        <f>L217-L216-50000</f>
        <v>-3947893</v>
      </c>
      <c r="K217" s="216" t="s">
        <v>5350</v>
      </c>
      <c r="L217" s="249">
        <v>1010326365</v>
      </c>
      <c r="M217" s="249">
        <v>632690003</v>
      </c>
      <c r="N217" s="248">
        <f t="shared" si="55"/>
        <v>1643016368</v>
      </c>
      <c r="O217" s="248">
        <f t="shared" si="56"/>
        <v>-2811879</v>
      </c>
      <c r="P217" s="248">
        <f>N217-N216-50000</f>
        <v>-6759772</v>
      </c>
      <c r="Q217" s="229">
        <v>50000</v>
      </c>
    </row>
    <row r="218" spans="9:19">
      <c r="I218" s="216" t="s">
        <v>5354</v>
      </c>
      <c r="J218" s="248">
        <f>L218-L217-400000</f>
        <v>-7352281</v>
      </c>
      <c r="K218" s="216" t="s">
        <v>5356</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5361</v>
      </c>
      <c r="L219" s="84">
        <v>999517682</v>
      </c>
      <c r="M219" s="84">
        <v>627640361</v>
      </c>
      <c r="N219" s="113">
        <f t="shared" si="55"/>
        <v>1627158043</v>
      </c>
      <c r="O219" s="113">
        <f t="shared" si="56"/>
        <v>-1762209</v>
      </c>
      <c r="P219" s="113">
        <f t="shared" si="57"/>
        <v>-5618611</v>
      </c>
      <c r="Q219" s="229">
        <v>0</v>
      </c>
    </row>
    <row r="220" spans="9:19">
      <c r="I220" s="189" t="s">
        <v>5364</v>
      </c>
      <c r="J220" s="188">
        <f t="shared" si="51"/>
        <v>30762624</v>
      </c>
      <c r="K220" s="189" t="s">
        <v>5363</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5375</v>
      </c>
      <c r="J222" s="280">
        <f>L222-L221+7000000</f>
        <v>4431891</v>
      </c>
      <c r="K222" s="279" t="s">
        <v>5376</v>
      </c>
      <c r="L222" s="281">
        <v>1011364540</v>
      </c>
      <c r="M222" s="281">
        <v>634014280</v>
      </c>
      <c r="N222" s="280">
        <f t="shared" si="55"/>
        <v>1645378820</v>
      </c>
      <c r="O222" s="280">
        <f t="shared" si="56"/>
        <v>-1137902</v>
      </c>
      <c r="P222" s="280">
        <f>N222-N221+7000000</f>
        <v>3293989</v>
      </c>
      <c r="Q222" s="229">
        <v>-7000000</v>
      </c>
    </row>
    <row r="223" spans="9:19">
      <c r="I223" s="216" t="s">
        <v>5379</v>
      </c>
      <c r="J223" s="248">
        <f t="shared" si="51"/>
        <v>-12364540</v>
      </c>
      <c r="K223" s="216" t="s">
        <v>5378</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5381</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5382</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5383</v>
      </c>
      <c r="L226" s="84">
        <v>995000000</v>
      </c>
      <c r="M226" s="84">
        <v>625000000</v>
      </c>
      <c r="N226" s="113">
        <f t="shared" si="55"/>
        <v>1620000000</v>
      </c>
      <c r="O226" s="113">
        <f t="shared" si="56"/>
        <v>-2621912</v>
      </c>
      <c r="P226" s="113">
        <f t="shared" si="57"/>
        <v>-8262288</v>
      </c>
      <c r="Q226" s="229">
        <v>0</v>
      </c>
    </row>
    <row r="227" spans="9:19">
      <c r="I227" s="189" t="s">
        <v>5384</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5386</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5387</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5389</v>
      </c>
      <c r="L230" s="84">
        <v>981346829</v>
      </c>
      <c r="M230" s="84">
        <v>616768631</v>
      </c>
      <c r="N230" s="113">
        <f>L230+M230</f>
        <v>1598115460</v>
      </c>
      <c r="O230" s="113">
        <f t="shared" si="56"/>
        <v>-231369</v>
      </c>
      <c r="P230" s="113">
        <f t="shared" si="57"/>
        <v>-2584540</v>
      </c>
      <c r="Q230" s="229">
        <v>0</v>
      </c>
    </row>
    <row r="231" spans="9:19">
      <c r="I231" s="189" t="s">
        <v>5391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5390</v>
      </c>
      <c r="L232" s="84">
        <v>982764273</v>
      </c>
      <c r="M232" s="84">
        <v>618232370</v>
      </c>
      <c r="N232" s="113">
        <f t="shared" si="55"/>
        <v>1600996643</v>
      </c>
      <c r="O232" s="113">
        <f t="shared" si="56"/>
        <v>9817180</v>
      </c>
      <c r="P232" s="113">
        <f t="shared" si="57"/>
        <v>27833689</v>
      </c>
      <c r="Q232" s="229">
        <v>0</v>
      </c>
    </row>
    <row r="233" spans="9:19">
      <c r="I233" s="189" t="s">
        <v>5396</v>
      </c>
      <c r="J233" s="188">
        <f>L233-L232+990760</f>
        <v>270597</v>
      </c>
      <c r="K233" s="189" t="s">
        <v>5395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5398</v>
      </c>
      <c r="L235" s="84">
        <v>992056088</v>
      </c>
      <c r="M235" s="84">
        <v>622612430</v>
      </c>
      <c r="N235" s="113">
        <f t="shared" si="55"/>
        <v>1614668518</v>
      </c>
      <c r="O235" s="113">
        <f t="shared" si="56"/>
        <v>1987708</v>
      </c>
      <c r="P235" s="113">
        <f t="shared" si="57"/>
        <v>6910180</v>
      </c>
      <c r="Q235" s="229">
        <v>0</v>
      </c>
    </row>
    <row r="236" spans="9:19">
      <c r="I236" s="213"/>
      <c r="J236" s="113">
        <f t="shared" si="51"/>
        <v>-992056088</v>
      </c>
      <c r="K236" s="213"/>
      <c r="L236" s="84"/>
      <c r="M236" s="84"/>
      <c r="N236" s="113">
        <f t="shared" si="55"/>
        <v>0</v>
      </c>
      <c r="O236" s="113">
        <f t="shared" si="56"/>
        <v>-622612430</v>
      </c>
      <c r="P236" s="113">
        <f t="shared" si="57"/>
        <v>-1614668518</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5356</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2019-11-23T09:04:44Z</dcterms:modified>
</cp:coreProperties>
</file>