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C270" i="20" l="1"/>
  <c r="D266" i="20"/>
  <c r="H266" i="20"/>
  <c r="G30" i="51"/>
  <c r="H30" i="51"/>
  <c r="D30" i="51"/>
  <c r="I30" i="51" s="1"/>
  <c r="O115" i="18" l="1"/>
  <c r="AJ102" i="18"/>
  <c r="D265" i="20"/>
  <c r="H265" i="20"/>
  <c r="G29" i="51"/>
  <c r="H29" i="51"/>
  <c r="D29" i="51"/>
  <c r="I29" i="51" s="1"/>
  <c r="N115" i="18"/>
  <c r="N114" i="18"/>
  <c r="W121" i="18" l="1"/>
  <c r="U123" i="18"/>
  <c r="N35" i="18"/>
  <c r="M132" i="18"/>
  <c r="M131" i="18"/>
  <c r="G28" i="51"/>
  <c r="H28" i="51"/>
  <c r="D28" i="51"/>
  <c r="I28" i="51" s="1"/>
  <c r="K267" i="20"/>
  <c r="J267" i="20"/>
  <c r="J268" i="20"/>
  <c r="I266" i="20"/>
  <c r="I267" i="20"/>
  <c r="I268" i="20"/>
  <c r="G267" i="20"/>
  <c r="G266" i="20" s="1"/>
  <c r="G265" i="20" s="1"/>
  <c r="G264" i="20" s="1"/>
  <c r="G263" i="20" s="1"/>
  <c r="D264" i="20"/>
  <c r="H264" i="20"/>
  <c r="N122" i="18"/>
  <c r="N125" i="18" s="1"/>
  <c r="M127" i="18" s="1"/>
  <c r="N123" i="18"/>
  <c r="N121" i="18"/>
  <c r="M125" i="18"/>
  <c r="L131" i="18" s="1"/>
  <c r="J266" i="20" l="1"/>
  <c r="K266" i="20"/>
  <c r="J265" i="20"/>
  <c r="I265" i="20"/>
  <c r="K265" i="20"/>
  <c r="J264" i="20"/>
  <c r="I264" i="20"/>
  <c r="K264" i="20"/>
  <c r="M111" i="18"/>
  <c r="B270" i="20" l="1"/>
  <c r="G27" i="51"/>
  <c r="H27" i="51"/>
  <c r="D27" i="51"/>
  <c r="I27" i="51" s="1"/>
  <c r="G26" i="51"/>
  <c r="H26" i="51"/>
  <c r="D26" i="51"/>
  <c r="I26" i="51" s="1"/>
  <c r="W120" i="18" l="1"/>
  <c r="P28" i="18"/>
  <c r="N28" i="18" s="1"/>
  <c r="P24" i="18"/>
  <c r="N24" i="18" s="1"/>
  <c r="N47" i="18" l="1"/>
  <c r="AS38" i="18"/>
  <c r="N48" i="18" l="1"/>
  <c r="L33" i="18" l="1"/>
  <c r="W114" i="18" l="1"/>
  <c r="W115" i="18"/>
  <c r="W116" i="18"/>
  <c r="W117" i="18"/>
  <c r="W118" i="18"/>
  <c r="W119" i="18"/>
  <c r="W122" i="18"/>
  <c r="W113" i="18"/>
  <c r="N49" i="18" l="1"/>
  <c r="R149" i="18" l="1"/>
  <c r="R158" i="18"/>
  <c r="R136" i="18"/>
  <c r="T139" i="18" l="1"/>
  <c r="T97" i="18"/>
  <c r="S38" i="18"/>
  <c r="S39" i="18" s="1"/>
  <c r="S40" i="18" s="1"/>
  <c r="R118" i="18"/>
  <c r="R117" i="18"/>
  <c r="R116" i="18"/>
  <c r="AJ146" i="18"/>
  <c r="D57" i="51"/>
  <c r="L22" i="18" s="1"/>
  <c r="S41" i="18" l="1"/>
  <c r="S42" i="18" s="1"/>
  <c r="S43" i="18" s="1"/>
  <c r="M73" i="18" l="1"/>
  <c r="P27" i="18" l="1"/>
  <c r="N27" i="18" s="1"/>
  <c r="R115" i="18" s="1"/>
  <c r="Q45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101" i="18"/>
  <c r="AL100" i="18" s="1"/>
  <c r="AL99" i="18" s="1"/>
  <c r="AL98" i="18" l="1"/>
  <c r="AM99" i="18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7" i="18" l="1"/>
  <c r="AM98" i="18"/>
  <c r="AL96" i="18"/>
  <c r="AM97" i="18"/>
  <c r="AL144" i="18"/>
  <c r="AL143" i="18" l="1"/>
  <c r="AM144" i="18"/>
  <c r="AL95" i="18"/>
  <c r="AM96" i="18"/>
  <c r="S22" i="18"/>
  <c r="S23" i="18" s="1"/>
  <c r="S24" i="18" s="1"/>
  <c r="S25" i="18" s="1"/>
  <c r="P22" i="18"/>
  <c r="N22" i="18" s="1"/>
  <c r="N44" i="18"/>
  <c r="AL142" i="18" l="1"/>
  <c r="AM143" i="18"/>
  <c r="AL94" i="18"/>
  <c r="AM95" i="18"/>
  <c r="AL141" i="18" l="1"/>
  <c r="AM142" i="18"/>
  <c r="AL93" i="18"/>
  <c r="AM94" i="18"/>
  <c r="AL140" i="18" l="1"/>
  <c r="AM141" i="18"/>
  <c r="AL92" i="18"/>
  <c r="AM93" i="18"/>
  <c r="S26" i="18"/>
  <c r="S27" i="18" s="1"/>
  <c r="S28" i="18" s="1"/>
  <c r="N73" i="18"/>
  <c r="AL139" i="18" l="1"/>
  <c r="AM140" i="18"/>
  <c r="S29" i="18"/>
  <c r="S30" i="18" s="1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39" i="18" l="1"/>
  <c r="AL138" i="18"/>
  <c r="AL90" i="18"/>
  <c r="AM91" i="18"/>
  <c r="D73" i="48"/>
  <c r="N23" i="18"/>
  <c r="AL137" i="18" l="1"/>
  <c r="AM138" i="18"/>
  <c r="AM90" i="18"/>
  <c r="AL89" i="18"/>
  <c r="AL136" i="18" l="1"/>
  <c r="AM137" i="18"/>
  <c r="AL88" i="18"/>
  <c r="AM89" i="18"/>
  <c r="P53" i="18"/>
  <c r="AL135" i="18" l="1"/>
  <c r="AM136" i="18"/>
  <c r="AL87" i="18"/>
  <c r="AM88" i="18"/>
  <c r="AL134" i="18" l="1"/>
  <c r="AM135" i="18"/>
  <c r="AM87" i="18"/>
  <c r="AL86" i="18"/>
  <c r="N23" i="33"/>
  <c r="D23" i="33" s="1"/>
  <c r="AL133" i="18" l="1"/>
  <c r="AM134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32" i="18" l="1"/>
  <c r="AM133" i="18"/>
  <c r="AL84" i="18"/>
  <c r="AM85" i="18"/>
  <c r="P21" i="18"/>
  <c r="N21" i="18" s="1"/>
  <c r="R114" i="18" s="1"/>
  <c r="B263" i="15"/>
  <c r="AL131" i="18" l="1"/>
  <c r="AM132" i="18"/>
  <c r="Q33" i="18"/>
  <c r="AM84" i="18"/>
  <c r="AL83" i="18"/>
  <c r="AJ150" i="18"/>
  <c r="AJ151" i="18" s="1"/>
  <c r="S54" i="18"/>
  <c r="S55" i="18" s="1"/>
  <c r="AL130" i="18" l="1"/>
  <c r="AM131" i="18"/>
  <c r="AM83" i="18"/>
  <c r="AL82" i="18"/>
  <c r="S56" i="18"/>
  <c r="S57" i="18" s="1"/>
  <c r="AM130" i="18" l="1"/>
  <c r="AL129" i="18"/>
  <c r="AL81" i="18"/>
  <c r="AM82" i="18"/>
  <c r="P43" i="18"/>
  <c r="AL128" i="18" l="1"/>
  <c r="AM129" i="18"/>
  <c r="AL80" i="18"/>
  <c r="AM80" i="18" s="1"/>
  <c r="AM81" i="18"/>
  <c r="AM128" i="18" l="1"/>
  <c r="AL127" i="18"/>
  <c r="AM127" i="18" l="1"/>
  <c r="AL126" i="18"/>
  <c r="B8" i="36"/>
  <c r="AL125" i="18" l="1"/>
  <c r="AM126" i="18"/>
  <c r="B10" i="36"/>
  <c r="AL124" i="18" l="1"/>
  <c r="AM125" i="18"/>
  <c r="S58" i="18"/>
  <c r="S59" i="18" l="1"/>
  <c r="S60" i="18" s="1"/>
  <c r="S61" i="18" s="1"/>
  <c r="S62" i="18" s="1"/>
  <c r="S63" i="18" s="1"/>
  <c r="S64" i="18" s="1"/>
  <c r="AL123" i="18"/>
  <c r="AM124" i="18"/>
  <c r="N25" i="33"/>
  <c r="N24" i="33"/>
  <c r="N21" i="33"/>
  <c r="N20" i="33"/>
  <c r="N19" i="33"/>
  <c r="N18" i="33"/>
  <c r="L18" i="33" s="1"/>
  <c r="N17" i="33"/>
  <c r="N9" i="33"/>
  <c r="N3" i="33"/>
  <c r="N4" i="33"/>
  <c r="AM123" i="18" l="1"/>
  <c r="AL122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22" i="18" l="1"/>
  <c r="AL121" i="18"/>
  <c r="S66" i="18"/>
  <c r="AC15" i="33"/>
  <c r="AM121" i="18" l="1"/>
  <c r="AL120" i="18"/>
  <c r="S67" i="18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N16" i="33"/>
  <c r="AM120" i="18" l="1"/>
  <c r="AL119" i="18"/>
  <c r="AM119" i="18" s="1"/>
  <c r="AM146" i="18" s="1"/>
  <c r="AN146" i="18" s="1"/>
  <c r="AJ149" i="18" s="1"/>
  <c r="S84" i="18"/>
  <c r="S85" i="18" s="1"/>
  <c r="S86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52" i="18" l="1"/>
  <c r="AJ15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69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69" i="20"/>
  <c r="N43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9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69" i="20" l="1"/>
  <c r="J269" i="20"/>
  <c r="G268" i="20"/>
  <c r="K269" i="20"/>
  <c r="K268" i="20" l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62" i="20" l="1"/>
  <c r="J263" i="20"/>
  <c r="K263" i="20"/>
  <c r="I263" i="20"/>
  <c r="AL77" i="18"/>
  <c r="AM78" i="18"/>
  <c r="N53" i="18"/>
  <c r="G261" i="20" l="1"/>
  <c r="J262" i="20"/>
  <c r="I262" i="20"/>
  <c r="K262" i="20"/>
  <c r="AL76" i="18"/>
  <c r="AM77" i="18"/>
  <c r="G260" i="20" l="1"/>
  <c r="K261" i="20"/>
  <c r="J261" i="20"/>
  <c r="I261" i="20"/>
  <c r="AL75" i="18"/>
  <c r="AM76" i="18"/>
  <c r="N42" i="18"/>
  <c r="R113" i="18" s="1"/>
  <c r="Q89" i="18" l="1"/>
  <c r="R122" i="18"/>
  <c r="T126" i="18" s="1"/>
  <c r="G259" i="20"/>
  <c r="K260" i="20"/>
  <c r="J260" i="20"/>
  <c r="I260" i="20"/>
  <c r="AJ108" i="18"/>
  <c r="AJ109" i="18" s="1"/>
  <c r="AL74" i="18"/>
  <c r="AM75" i="18"/>
  <c r="G258" i="20" l="1"/>
  <c r="J259" i="20"/>
  <c r="K259" i="20"/>
  <c r="I259" i="20"/>
  <c r="U139" i="18"/>
  <c r="AL73" i="18"/>
  <c r="AM74" i="18"/>
  <c r="N79" i="18"/>
  <c r="V85" i="18" l="1"/>
  <c r="V86" i="18"/>
  <c r="W85" i="18"/>
  <c r="X85" i="18"/>
  <c r="V83" i="18"/>
  <c r="V84" i="18"/>
  <c r="V82" i="18"/>
  <c r="V81" i="18"/>
  <c r="V31" i="18"/>
  <c r="W31" i="18" s="1"/>
  <c r="V80" i="18"/>
  <c r="V79" i="18"/>
  <c r="W79" i="18" s="1"/>
  <c r="V43" i="18"/>
  <c r="G257" i="20"/>
  <c r="I258" i="20"/>
  <c r="K258" i="20"/>
  <c r="J258" i="20"/>
  <c r="V30" i="18"/>
  <c r="X30" i="18" s="1"/>
  <c r="V42" i="18"/>
  <c r="V77" i="18"/>
  <c r="V78" i="18"/>
  <c r="V44" i="18"/>
  <c r="V40" i="18"/>
  <c r="V41" i="18"/>
  <c r="V29" i="18"/>
  <c r="W29" i="18" s="1"/>
  <c r="V76" i="18"/>
  <c r="V74" i="18"/>
  <c r="W74" i="18" s="1"/>
  <c r="V75" i="18"/>
  <c r="S101" i="18"/>
  <c r="V72" i="18"/>
  <c r="W72" i="18" s="1"/>
  <c r="V73" i="18"/>
  <c r="V69" i="18"/>
  <c r="W69" i="18" s="1"/>
  <c r="V71" i="18"/>
  <c r="V70" i="18"/>
  <c r="V139" i="18"/>
  <c r="V68" i="18"/>
  <c r="V67" i="18"/>
  <c r="V39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3" i="18"/>
  <c r="V20" i="18"/>
  <c r="V22" i="18"/>
  <c r="V54" i="18"/>
  <c r="V55" i="18"/>
  <c r="V56" i="18"/>
  <c r="AL72" i="18"/>
  <c r="AM73" i="18"/>
  <c r="W86" i="18" l="1"/>
  <c r="X86" i="18"/>
  <c r="W84" i="18"/>
  <c r="X84" i="18"/>
  <c r="X83" i="18"/>
  <c r="W83" i="18"/>
  <c r="W81" i="18"/>
  <c r="X81" i="18"/>
  <c r="W82" i="18"/>
  <c r="X82" i="18"/>
  <c r="X31" i="18"/>
  <c r="W80" i="18"/>
  <c r="X80" i="18"/>
  <c r="X79" i="18"/>
  <c r="W43" i="18"/>
  <c r="X43" i="18"/>
  <c r="G256" i="20"/>
  <c r="J257" i="20"/>
  <c r="K257" i="20"/>
  <c r="I257" i="20"/>
  <c r="W30" i="18"/>
  <c r="W42" i="18"/>
  <c r="X42" i="18"/>
  <c r="W78" i="18"/>
  <c r="X78" i="18"/>
  <c r="W77" i="18"/>
  <c r="X77" i="18"/>
  <c r="X40" i="18"/>
  <c r="W40" i="18"/>
  <c r="W41" i="18"/>
  <c r="X41" i="18"/>
  <c r="W44" i="18"/>
  <c r="X44" i="18"/>
  <c r="W76" i="18"/>
  <c r="X76" i="18"/>
  <c r="X29" i="18"/>
  <c r="X74" i="18"/>
  <c r="W75" i="18"/>
  <c r="X75" i="18"/>
  <c r="X72" i="18"/>
  <c r="X73" i="18"/>
  <c r="W73" i="18"/>
  <c r="X69" i="18"/>
  <c r="W70" i="18"/>
  <c r="X70" i="18"/>
  <c r="W71" i="18"/>
  <c r="X71" i="18"/>
  <c r="V129" i="18"/>
  <c r="S100" i="18"/>
  <c r="N31" i="18" s="1"/>
  <c r="L21" i="18" s="1"/>
  <c r="N56" i="18"/>
  <c r="S99" i="18"/>
  <c r="W67" i="18"/>
  <c r="X67" i="18"/>
  <c r="X68" i="18"/>
  <c r="W68" i="18"/>
  <c r="X39" i="18"/>
  <c r="W39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3" i="18"/>
  <c r="X53" i="18"/>
  <c r="W60" i="18"/>
  <c r="X60" i="18"/>
  <c r="W54" i="18"/>
  <c r="X54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G255" i="20" l="1"/>
  <c r="I256" i="20"/>
  <c r="K256" i="20"/>
  <c r="J256" i="20"/>
  <c r="U100" i="18"/>
  <c r="V100" i="18" s="1"/>
  <c r="AL70" i="18"/>
  <c r="AM71" i="18"/>
  <c r="G254" i="20" l="1"/>
  <c r="J255" i="20"/>
  <c r="K255" i="20"/>
  <c r="I255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3" i="20" l="1"/>
  <c r="K254" i="20"/>
  <c r="I254" i="20"/>
  <c r="J254" i="20"/>
  <c r="AL68" i="18"/>
  <c r="AM69" i="18"/>
  <c r="N2" i="33"/>
  <c r="G252" i="20" l="1"/>
  <c r="I253" i="20"/>
  <c r="K253" i="20"/>
  <c r="J253" i="20"/>
  <c r="AL67" i="18"/>
  <c r="AM68" i="18"/>
  <c r="I2" i="33"/>
  <c r="E2" i="33"/>
  <c r="J2" i="33"/>
  <c r="F2" i="33"/>
  <c r="K2" i="33"/>
  <c r="G2" i="33"/>
  <c r="D2" i="33"/>
  <c r="C2" i="33"/>
  <c r="H2" i="33"/>
  <c r="D73" i="45"/>
  <c r="G251" i="20" l="1"/>
  <c r="K252" i="20"/>
  <c r="J252" i="20"/>
  <c r="I252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G250" i="20" l="1"/>
  <c r="J251" i="20"/>
  <c r="K251" i="20"/>
  <c r="I251" i="20"/>
  <c r="AL65" i="18"/>
  <c r="AM66" i="18"/>
  <c r="E45" i="14"/>
  <c r="G249" i="20" l="1"/>
  <c r="J250" i="20"/>
  <c r="I250" i="20"/>
  <c r="K250" i="20"/>
  <c r="AL64" i="18"/>
  <c r="AM65" i="18"/>
  <c r="E44" i="14"/>
  <c r="G248" i="20" l="1"/>
  <c r="I249" i="20"/>
  <c r="J249" i="20"/>
  <c r="K249" i="20"/>
  <c r="AM64" i="18"/>
  <c r="AL63" i="18"/>
  <c r="E43" i="14"/>
  <c r="G247" i="20" l="1"/>
  <c r="I248" i="20"/>
  <c r="J248" i="20"/>
  <c r="K248" i="20"/>
  <c r="AL62" i="18"/>
  <c r="AM63" i="18"/>
  <c r="E42" i="14"/>
  <c r="G42" i="14" s="1"/>
  <c r="G246" i="20" l="1"/>
  <c r="J247" i="20"/>
  <c r="K247" i="20"/>
  <c r="I247" i="20"/>
  <c r="AL61" i="18"/>
  <c r="AM62" i="18"/>
  <c r="E41" i="14"/>
  <c r="G41" i="14" s="1"/>
  <c r="G245" i="20" l="1"/>
  <c r="J246" i="20"/>
  <c r="K246" i="20"/>
  <c r="I246" i="20"/>
  <c r="AM61" i="18"/>
  <c r="AL60" i="18"/>
  <c r="E40" i="14"/>
  <c r="G40" i="14" s="1"/>
  <c r="G244" i="20" l="1"/>
  <c r="J245" i="20"/>
  <c r="I245" i="20"/>
  <c r="K245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3" i="20" l="1"/>
  <c r="K244" i="20"/>
  <c r="J244" i="20"/>
  <c r="I244" i="20"/>
  <c r="AM59" i="18"/>
  <c r="AL58" i="18"/>
  <c r="E38" i="14"/>
  <c r="G38" i="14" s="1"/>
  <c r="G242" i="20" l="1"/>
  <c r="J243" i="20"/>
  <c r="K243" i="20"/>
  <c r="I243" i="20"/>
  <c r="AL57" i="18"/>
  <c r="AM58" i="18"/>
  <c r="E37" i="14"/>
  <c r="G37" i="14" s="1"/>
  <c r="G241" i="20" l="1"/>
  <c r="J242" i="20"/>
  <c r="K242" i="20"/>
  <c r="I242" i="20"/>
  <c r="AL56" i="18"/>
  <c r="AM57" i="18"/>
  <c r="E36" i="14"/>
  <c r="G36" i="14" s="1"/>
  <c r="B105" i="13"/>
  <c r="B196" i="13" s="1"/>
  <c r="G240" i="20" l="1"/>
  <c r="K241" i="20"/>
  <c r="J241" i="20"/>
  <c r="I241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39" i="20" l="1"/>
  <c r="K240" i="20"/>
  <c r="J240" i="20"/>
  <c r="I240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38" i="20" l="1"/>
  <c r="K239" i="20"/>
  <c r="J239" i="20"/>
  <c r="I239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37" i="20" l="1"/>
  <c r="J238" i="20"/>
  <c r="K238" i="20"/>
  <c r="I238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6" i="20" l="1"/>
  <c r="K237" i="20"/>
  <c r="J237" i="20"/>
  <c r="I237" i="20"/>
  <c r="H33" i="48"/>
  <c r="B27" i="50"/>
  <c r="D2" i="50"/>
  <c r="G2" i="50"/>
  <c r="G28" i="50" s="1"/>
  <c r="AL51" i="18"/>
  <c r="AM52" i="18"/>
  <c r="D27" i="48"/>
  <c r="E253" i="15"/>
  <c r="E252" i="15"/>
  <c r="G235" i="20" l="1"/>
  <c r="K236" i="20"/>
  <c r="I236" i="20"/>
  <c r="J236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34" i="20" l="1"/>
  <c r="I235" i="20"/>
  <c r="J235" i="20"/>
  <c r="K235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33" i="20" l="1"/>
  <c r="K234" i="20"/>
  <c r="J234" i="20"/>
  <c r="I234" i="20"/>
  <c r="AL48" i="18"/>
  <c r="AM49" i="18"/>
  <c r="E30" i="14"/>
  <c r="G31" i="14"/>
  <c r="E248" i="15"/>
  <c r="G232" i="20" l="1"/>
  <c r="J233" i="20"/>
  <c r="K233" i="20"/>
  <c r="I233" i="20"/>
  <c r="AL47" i="18"/>
  <c r="AM48" i="18"/>
  <c r="E29" i="14"/>
  <c r="G30" i="14"/>
  <c r="E247" i="15"/>
  <c r="E246" i="15"/>
  <c r="G231" i="20" l="1"/>
  <c r="J232" i="20"/>
  <c r="I232" i="20"/>
  <c r="K232" i="20"/>
  <c r="AL46" i="18"/>
  <c r="AM47" i="18"/>
  <c r="E28" i="14"/>
  <c r="G29" i="14"/>
  <c r="E245" i="15"/>
  <c r="G230" i="20" l="1"/>
  <c r="I231" i="20"/>
  <c r="J231" i="20"/>
  <c r="K231" i="20"/>
  <c r="AM46" i="18"/>
  <c r="AL45" i="18"/>
  <c r="E27" i="14"/>
  <c r="G28" i="14"/>
  <c r="N15" i="33"/>
  <c r="E244" i="15"/>
  <c r="G229" i="20" l="1"/>
  <c r="J230" i="20"/>
  <c r="I230" i="20"/>
  <c r="K230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28" i="20" l="1"/>
  <c r="J229" i="20"/>
  <c r="I229" i="20"/>
  <c r="K229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27" i="20" l="1"/>
  <c r="J228" i="20"/>
  <c r="K228" i="20"/>
  <c r="I228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6" i="20" l="1"/>
  <c r="K227" i="20"/>
  <c r="J227" i="20"/>
  <c r="I227" i="20"/>
  <c r="AL41" i="18"/>
  <c r="AM42" i="18"/>
  <c r="E23" i="14"/>
  <c r="G24" i="14"/>
  <c r="H25" i="43"/>
  <c r="G2" i="43"/>
  <c r="G25" i="43" s="1"/>
  <c r="G30" i="43" s="1"/>
  <c r="H30" i="43" s="1"/>
  <c r="G225" i="20" l="1"/>
  <c r="J226" i="20"/>
  <c r="K226" i="20"/>
  <c r="I226" i="20"/>
  <c r="AM41" i="18"/>
  <c r="AL40" i="18"/>
  <c r="E22" i="14"/>
  <c r="G23" i="14"/>
  <c r="I2" i="43"/>
  <c r="I25" i="43" s="1"/>
  <c r="I30" i="43" s="1"/>
  <c r="D24" i="43"/>
  <c r="G224" i="20" l="1"/>
  <c r="J225" i="20"/>
  <c r="I225" i="20"/>
  <c r="K225" i="20"/>
  <c r="AL39" i="18"/>
  <c r="AM40" i="18"/>
  <c r="E21" i="14"/>
  <c r="E20" i="14" s="1"/>
  <c r="E19" i="14" s="1"/>
  <c r="E18" i="14" s="1"/>
  <c r="G22" i="14"/>
  <c r="E243" i="15"/>
  <c r="G223" i="20" l="1"/>
  <c r="K224" i="20"/>
  <c r="J224" i="20"/>
  <c r="I224" i="20"/>
  <c r="AM39" i="18"/>
  <c r="AL38" i="18"/>
  <c r="E242" i="15"/>
  <c r="G222" i="20" l="1"/>
  <c r="J223" i="20"/>
  <c r="I223" i="20"/>
  <c r="K223" i="20"/>
  <c r="AL37" i="18"/>
  <c r="AM38" i="18"/>
  <c r="J57" i="33"/>
  <c r="J55" i="33"/>
  <c r="J54" i="33"/>
  <c r="G221" i="20" l="1"/>
  <c r="K222" i="20"/>
  <c r="J222" i="20"/>
  <c r="I222" i="20"/>
  <c r="AL36" i="18"/>
  <c r="AM37" i="18"/>
  <c r="L57" i="33"/>
  <c r="E241" i="15"/>
  <c r="G220" i="20" l="1"/>
  <c r="J221" i="20"/>
  <c r="I221" i="20"/>
  <c r="K221" i="20"/>
  <c r="AM36" i="18"/>
  <c r="AL35" i="18"/>
  <c r="D168" i="20"/>
  <c r="G219" i="20" l="1"/>
  <c r="K220" i="20"/>
  <c r="J220" i="20"/>
  <c r="I220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G218" i="20" l="1"/>
  <c r="J219" i="20"/>
  <c r="K219" i="20"/>
  <c r="I219" i="20"/>
  <c r="AL33" i="18"/>
  <c r="AM34" i="18"/>
  <c r="D252" i="15"/>
  <c r="F253" i="15"/>
  <c r="G217" i="20" l="1"/>
  <c r="K218" i="20"/>
  <c r="I218" i="20"/>
  <c r="J218" i="20"/>
  <c r="AL32" i="18"/>
  <c r="AM33" i="18"/>
  <c r="D251" i="15"/>
  <c r="F252" i="15"/>
  <c r="J217" i="20" l="1"/>
  <c r="G216" i="20"/>
  <c r="I217" i="20"/>
  <c r="K217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5" i="20" l="1"/>
  <c r="I216" i="20"/>
  <c r="J216" i="20"/>
  <c r="K216" i="20"/>
  <c r="AL30" i="18"/>
  <c r="AM31" i="18"/>
  <c r="D249" i="15"/>
  <c r="F250" i="15"/>
  <c r="L60" i="32"/>
  <c r="L48" i="32"/>
  <c r="G214" i="20" l="1"/>
  <c r="I215" i="20"/>
  <c r="J215" i="20"/>
  <c r="K215" i="20"/>
  <c r="AL29" i="18"/>
  <c r="AM30" i="18"/>
  <c r="F249" i="15"/>
  <c r="D248" i="15"/>
  <c r="G213" i="20" l="1"/>
  <c r="K214" i="20"/>
  <c r="J214" i="20"/>
  <c r="I214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2" i="20" l="1"/>
  <c r="K213" i="20"/>
  <c r="J213" i="20"/>
  <c r="I213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1" i="20" l="1"/>
  <c r="K212" i="20"/>
  <c r="I212" i="20"/>
  <c r="J212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0" i="20" l="1"/>
  <c r="K211" i="20"/>
  <c r="J211" i="20"/>
  <c r="I211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09" i="20" l="1"/>
  <c r="J210" i="20"/>
  <c r="K210" i="20"/>
  <c r="I210" i="20"/>
  <c r="AL24" i="18"/>
  <c r="AM25" i="18"/>
  <c r="E178" i="13"/>
  <c r="G179" i="13"/>
  <c r="D243" i="15"/>
  <c r="F244" i="15"/>
  <c r="G208" i="20" l="1"/>
  <c r="K209" i="20"/>
  <c r="J209" i="20"/>
  <c r="I209" i="20"/>
  <c r="AM24" i="18"/>
  <c r="AL23" i="18"/>
  <c r="E177" i="13"/>
  <c r="G178" i="13"/>
  <c r="F243" i="15"/>
  <c r="D242" i="15"/>
  <c r="G207" i="20" l="1"/>
  <c r="I208" i="20"/>
  <c r="K208" i="20"/>
  <c r="J208" i="20"/>
  <c r="AM23" i="18"/>
  <c r="AL22" i="18"/>
  <c r="E176" i="13"/>
  <c r="G177" i="13"/>
  <c r="F242" i="15"/>
  <c r="D241" i="15"/>
  <c r="D165" i="20"/>
  <c r="G206" i="20" l="1"/>
  <c r="J207" i="20"/>
  <c r="K207" i="20"/>
  <c r="I207" i="20"/>
  <c r="AL21" i="18"/>
  <c r="AL20" i="18" s="1"/>
  <c r="AM22" i="18"/>
  <c r="E175" i="13"/>
  <c r="G176" i="13"/>
  <c r="F241" i="15"/>
  <c r="D240" i="15"/>
  <c r="D164" i="20"/>
  <c r="G205" i="20" l="1"/>
  <c r="K206" i="20"/>
  <c r="J206" i="20"/>
  <c r="I206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4" i="20" l="1"/>
  <c r="I205" i="20"/>
  <c r="K205" i="20"/>
  <c r="J205" i="20"/>
  <c r="AM102" i="18"/>
  <c r="E173" i="13"/>
  <c r="G174" i="13"/>
  <c r="D238" i="15"/>
  <c r="F239" i="15"/>
  <c r="X720" i="41"/>
  <c r="U2123" i="41"/>
  <c r="G203" i="20" l="1"/>
  <c r="K204" i="20"/>
  <c r="J204" i="20"/>
  <c r="I204" i="20"/>
  <c r="AN102" i="18"/>
  <c r="AJ107" i="18" s="1"/>
  <c r="AJ111" i="18" s="1"/>
  <c r="E172" i="13"/>
  <c r="G173" i="13"/>
  <c r="D237" i="15"/>
  <c r="F238" i="15"/>
  <c r="D62" i="38"/>
  <c r="G202" i="20" l="1"/>
  <c r="K203" i="20"/>
  <c r="J203" i="20"/>
  <c r="I203" i="20"/>
  <c r="AJ110" i="18"/>
  <c r="E171" i="13"/>
  <c r="G172" i="13"/>
  <c r="F237" i="15"/>
  <c r="D236" i="15"/>
  <c r="G201" i="20" l="1"/>
  <c r="J202" i="20"/>
  <c r="K202" i="20"/>
  <c r="I202" i="20"/>
  <c r="E170" i="13"/>
  <c r="G171" i="13"/>
  <c r="D235" i="15"/>
  <c r="F236" i="15"/>
  <c r="G200" i="20" l="1"/>
  <c r="I201" i="20"/>
  <c r="K201" i="20"/>
  <c r="J201" i="20"/>
  <c r="E169" i="13"/>
  <c r="G170" i="13"/>
  <c r="F235" i="15"/>
  <c r="D234" i="15"/>
  <c r="D163" i="20"/>
  <c r="G199" i="20" l="1"/>
  <c r="K200" i="20"/>
  <c r="J200" i="20"/>
  <c r="I200" i="20"/>
  <c r="E168" i="13"/>
  <c r="G169" i="13"/>
  <c r="F234" i="15"/>
  <c r="D233" i="15"/>
  <c r="G198" i="20" l="1"/>
  <c r="J199" i="20"/>
  <c r="K199" i="20"/>
  <c r="I199" i="20"/>
  <c r="E167" i="13"/>
  <c r="G168" i="13"/>
  <c r="D232" i="15"/>
  <c r="F233" i="15"/>
  <c r="D162" i="20"/>
  <c r="G197" i="20" l="1"/>
  <c r="J198" i="20"/>
  <c r="K198" i="20"/>
  <c r="I198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6" i="20" l="1"/>
  <c r="K197" i="20"/>
  <c r="I197" i="20"/>
  <c r="J197" i="20"/>
  <c r="G72" i="16"/>
  <c r="E165" i="13"/>
  <c r="G166" i="13"/>
  <c r="F231" i="15"/>
  <c r="D230" i="15"/>
  <c r="G71" i="16"/>
  <c r="G70" i="16"/>
  <c r="G69" i="16"/>
  <c r="D160" i="20"/>
  <c r="G195" i="20" l="1"/>
  <c r="J196" i="20"/>
  <c r="I196" i="20"/>
  <c r="K196" i="20"/>
  <c r="E164" i="13"/>
  <c r="G165" i="13"/>
  <c r="F230" i="15"/>
  <c r="D229" i="15"/>
  <c r="D159" i="20"/>
  <c r="G194" i="20" l="1"/>
  <c r="J195" i="20"/>
  <c r="K195" i="20"/>
  <c r="I195" i="20"/>
  <c r="E163" i="13"/>
  <c r="G164" i="13"/>
  <c r="F229" i="15"/>
  <c r="D228" i="15"/>
  <c r="D158" i="20"/>
  <c r="D157" i="20"/>
  <c r="G193" i="20" l="1"/>
  <c r="J194" i="20"/>
  <c r="K194" i="20"/>
  <c r="I194" i="20"/>
  <c r="E162" i="13"/>
  <c r="G163" i="13"/>
  <c r="F228" i="15"/>
  <c r="D227" i="15"/>
  <c r="D156" i="20"/>
  <c r="G192" i="20" l="1"/>
  <c r="K193" i="20"/>
  <c r="J193" i="20"/>
  <c r="I193" i="20"/>
  <c r="E161" i="13"/>
  <c r="G162" i="13"/>
  <c r="F227" i="15"/>
  <c r="D226" i="15"/>
  <c r="D155" i="20"/>
  <c r="G191" i="20" l="1"/>
  <c r="J192" i="20"/>
  <c r="K192" i="20"/>
  <c r="I192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0" i="20" l="1"/>
  <c r="J191" i="20"/>
  <c r="K191" i="20"/>
  <c r="I191" i="20"/>
  <c r="E159" i="13"/>
  <c r="G160" i="13"/>
  <c r="G189" i="20" l="1"/>
  <c r="J190" i="20"/>
  <c r="K190" i="20"/>
  <c r="I190" i="20"/>
  <c r="E158" i="13"/>
  <c r="G159" i="13"/>
  <c r="D154" i="20"/>
  <c r="D153" i="20"/>
  <c r="G188" i="20" l="1"/>
  <c r="K189" i="20"/>
  <c r="I189" i="20"/>
  <c r="J189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87" i="20" l="1"/>
  <c r="J188" i="20"/>
  <c r="I188" i="20"/>
  <c r="K188" i="20"/>
  <c r="E156" i="13"/>
  <c r="G157" i="13"/>
  <c r="G186" i="20" l="1"/>
  <c r="I187" i="20"/>
  <c r="J187" i="20"/>
  <c r="K187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5" i="20" l="1"/>
  <c r="K186" i="20"/>
  <c r="I186" i="20"/>
  <c r="J186" i="20"/>
  <c r="E154" i="13"/>
  <c r="G155" i="13"/>
  <c r="I46" i="32"/>
  <c r="G184" i="20" l="1"/>
  <c r="K185" i="20"/>
  <c r="J185" i="20"/>
  <c r="I185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3" i="20" l="1"/>
  <c r="I184" i="20"/>
  <c r="K184" i="20"/>
  <c r="J184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2" i="20" l="1"/>
  <c r="I183" i="20"/>
  <c r="K183" i="20"/>
  <c r="J183" i="20"/>
  <c r="E151" i="13"/>
  <c r="G152" i="13"/>
  <c r="G181" i="20" l="1"/>
  <c r="J182" i="20"/>
  <c r="K182" i="20"/>
  <c r="I182" i="20"/>
  <c r="E150" i="13"/>
  <c r="G151" i="13"/>
  <c r="G180" i="20" l="1"/>
  <c r="K181" i="20"/>
  <c r="I181" i="20"/>
  <c r="J181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79" i="20" l="1"/>
  <c r="K180" i="20"/>
  <c r="I180" i="20"/>
  <c r="J180" i="20"/>
  <c r="E148" i="13"/>
  <c r="G149" i="13"/>
  <c r="G178" i="20" l="1"/>
  <c r="J179" i="20"/>
  <c r="I179" i="20"/>
  <c r="K179" i="20"/>
  <c r="E147" i="13"/>
  <c r="G148" i="13"/>
  <c r="G177" i="20" l="1"/>
  <c r="K178" i="20"/>
  <c r="J178" i="20"/>
  <c r="I178" i="20"/>
  <c r="E146" i="13"/>
  <c r="G147" i="13"/>
  <c r="K47" i="32"/>
  <c r="U47" i="32" s="1"/>
  <c r="U46" i="32"/>
  <c r="G176" i="20" l="1"/>
  <c r="J177" i="20"/>
  <c r="K177" i="20"/>
  <c r="I177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75" i="20" l="1"/>
  <c r="J176" i="20"/>
  <c r="K176" i="20"/>
  <c r="I176" i="20"/>
  <c r="E144" i="13"/>
  <c r="G145" i="13"/>
  <c r="AD15" i="32"/>
  <c r="AB15" i="32"/>
  <c r="Z34" i="32"/>
  <c r="G45" i="10"/>
  <c r="D42" i="34"/>
  <c r="G174" i="20" l="1"/>
  <c r="K175" i="20"/>
  <c r="J175" i="20"/>
  <c r="I175" i="20"/>
  <c r="E143" i="13"/>
  <c r="G144" i="13"/>
  <c r="AC16" i="32"/>
  <c r="AD16" i="32"/>
  <c r="AB16" i="32"/>
  <c r="J174" i="20" l="1"/>
  <c r="I174" i="20"/>
  <c r="G173" i="20"/>
  <c r="E142" i="13"/>
  <c r="G143" i="13"/>
  <c r="G172" i="20" l="1"/>
  <c r="K173" i="20"/>
  <c r="J173" i="20"/>
  <c r="I173" i="20"/>
  <c r="E141" i="13"/>
  <c r="G142" i="13"/>
  <c r="U8" i="32"/>
  <c r="G171" i="20" l="1"/>
  <c r="I172" i="20"/>
  <c r="K172" i="20"/>
  <c r="J172" i="20"/>
  <c r="E140" i="13"/>
  <c r="G141" i="13"/>
  <c r="G170" i="20" l="1"/>
  <c r="K171" i="20"/>
  <c r="J171" i="20"/>
  <c r="I171" i="20"/>
  <c r="E139" i="13"/>
  <c r="G140" i="13"/>
  <c r="N34" i="33"/>
  <c r="G169" i="20" l="1"/>
  <c r="K170" i="20"/>
  <c r="J170" i="20"/>
  <c r="I170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68" i="20" l="1"/>
  <c r="I169" i="20"/>
  <c r="J169" i="20"/>
  <c r="K169" i="20"/>
  <c r="E137" i="13"/>
  <c r="G138" i="13"/>
  <c r="Q43" i="32"/>
  <c r="G167" i="20" l="1"/>
  <c r="I168" i="20"/>
  <c r="J168" i="20"/>
  <c r="K168" i="20"/>
  <c r="E136" i="13"/>
  <c r="G137" i="13"/>
  <c r="I42" i="32"/>
  <c r="K41" i="32"/>
  <c r="M41" i="32"/>
  <c r="M29" i="32"/>
  <c r="R29" i="32" s="1"/>
  <c r="K29" i="32"/>
  <c r="G166" i="20" l="1"/>
  <c r="K167" i="20"/>
  <c r="I167" i="20"/>
  <c r="J167" i="20"/>
  <c r="E135" i="13"/>
  <c r="G136" i="13"/>
  <c r="Q29" i="32"/>
  <c r="G165" i="20" l="1"/>
  <c r="K166" i="20"/>
  <c r="J166" i="20"/>
  <c r="I166" i="20"/>
  <c r="E134" i="13"/>
  <c r="G135" i="13"/>
  <c r="U29" i="32"/>
  <c r="U62" i="32"/>
  <c r="U63" i="32"/>
  <c r="U64" i="32"/>
  <c r="U65" i="32"/>
  <c r="U66" i="32"/>
  <c r="U67" i="32"/>
  <c r="U68" i="32"/>
  <c r="AC28" i="33"/>
  <c r="G164" i="20" l="1"/>
  <c r="I165" i="20"/>
  <c r="K165" i="20"/>
  <c r="J165" i="20"/>
  <c r="E133" i="13"/>
  <c r="G134" i="13"/>
  <c r="AE24" i="33"/>
  <c r="G163" i="20" l="1"/>
  <c r="I164" i="20"/>
  <c r="K164" i="20"/>
  <c r="J164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62" i="20" l="1"/>
  <c r="J163" i="20"/>
  <c r="K163" i="20"/>
  <c r="I163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1" i="20" l="1"/>
  <c r="K162" i="20"/>
  <c r="J162" i="20"/>
  <c r="I162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0" i="20" l="1"/>
  <c r="K161" i="20"/>
  <c r="J161" i="20"/>
  <c r="I161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59" i="20" l="1"/>
  <c r="J160" i="20"/>
  <c r="K160" i="20"/>
  <c r="I160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58" i="20" l="1"/>
  <c r="J159" i="20"/>
  <c r="K159" i="20"/>
  <c r="I159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57" i="20" l="1"/>
  <c r="J158" i="20"/>
  <c r="K158" i="20"/>
  <c r="I158" i="20"/>
  <c r="E126" i="13"/>
  <c r="G127" i="13"/>
  <c r="H30" i="42"/>
  <c r="I2" i="42"/>
  <c r="I25" i="42" s="1"/>
  <c r="I30" i="42" s="1"/>
  <c r="D24" i="42"/>
  <c r="K28" i="32"/>
  <c r="G156" i="20" l="1"/>
  <c r="J157" i="20"/>
  <c r="I157" i="20"/>
  <c r="K157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55" i="20" l="1"/>
  <c r="I156" i="20"/>
  <c r="K156" i="20"/>
  <c r="J156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4" i="20" l="1"/>
  <c r="K155" i="20"/>
  <c r="I155" i="20"/>
  <c r="J155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3" i="20" l="1"/>
  <c r="K154" i="20"/>
  <c r="J154" i="20"/>
  <c r="I154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52" i="20" l="1"/>
  <c r="K153" i="20"/>
  <c r="J153" i="20"/>
  <c r="I153" i="20"/>
  <c r="G102" i="13"/>
  <c r="G196" i="13"/>
  <c r="G199" i="13" s="1"/>
  <c r="G103" i="13"/>
  <c r="U14" i="32"/>
  <c r="L14" i="32" s="1"/>
  <c r="Q9" i="32"/>
  <c r="R9" i="32"/>
  <c r="Y5" i="33"/>
  <c r="G151" i="20" l="1"/>
  <c r="I152" i="20"/>
  <c r="J152" i="20"/>
  <c r="K152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J151" i="20" l="1"/>
  <c r="I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70" i="20" s="1"/>
  <c r="I119" i="20" l="1"/>
  <c r="K119" i="20"/>
  <c r="J116" i="20"/>
  <c r="E49" i="13"/>
  <c r="G50" i="13"/>
  <c r="I126" i="20"/>
  <c r="N17" i="18" l="1"/>
  <c r="N59" i="18" s="1"/>
  <c r="D277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9" i="18" s="1"/>
  <c r="L60" i="18" l="1"/>
  <c r="F22" i="18"/>
  <c r="E33" i="13"/>
  <c r="G34" i="13"/>
  <c r="I97" i="20"/>
  <c r="K97" i="20"/>
  <c r="J97" i="20"/>
  <c r="F108" i="15"/>
  <c r="C20" i="18"/>
  <c r="G20" i="14"/>
  <c r="G21" i="14"/>
  <c r="L61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0" i="20" s="1"/>
  <c r="J2" i="20"/>
  <c r="J270" i="20" s="1"/>
  <c r="I2" i="20"/>
  <c r="I270" i="20" s="1"/>
  <c r="F13" i="15"/>
  <c r="I273" i="20" l="1"/>
  <c r="J273" i="20"/>
  <c r="K273" i="20"/>
  <c r="F12" i="15"/>
  <c r="J277" i="20" l="1"/>
  <c r="K277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9" i="18" l="1"/>
  <c r="V99" i="18" s="1"/>
  <c r="U101" i="18"/>
  <c r="V101" i="18" s="1"/>
</calcChain>
</file>

<file path=xl/sharedStrings.xml><?xml version="1.0" encoding="utf-8"?>
<sst xmlns="http://schemas.openxmlformats.org/spreadsheetml/2006/main" count="9835" uniqueCount="4596">
  <si>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</si>
  <si>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</si>
  <si>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</si>
  <si>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</si>
  <si>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</si>
  <si>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</si>
  <si>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</si>
  <si>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</si>
  <si>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</si>
  <si>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</si>
  <si>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</si>
  <si>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</si>
  <si>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</si>
  <si>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</si>
  <si>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</si>
  <si>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</si>
  <si>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</si>
  <si>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</si>
  <si>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</si>
  <si>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</si>
  <si>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</si>
  <si>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</si>
  <si>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</si>
  <si>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</si>
  <si>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</si>
  <si>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</si>
  <si>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</si>
  <si>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</si>
  <si>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</si>
  <si>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</si>
  <si>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</si>
  <si>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</si>
  <si>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</si>
  <si>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</si>
  <si>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</si>
  <si>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</si>
  <si>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</si>
  <si>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</si>
  <si>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</si>
  <si>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</si>
  <si>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</si>
  <si>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</si>
  <si>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</si>
  <si>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</si>
  <si>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</si>
  <si>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</si>
  <si>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</si>
  <si>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</si>
  <si>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</si>
  <si>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</si>
  <si>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</si>
  <si>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</si>
  <si>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</si>
  <si>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</si>
  <si>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</si>
  <si>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</si>
  <si>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</si>
  <si>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</si>
  <si>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</si>
  <si>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</si>
  <si>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</si>
  <si>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</si>
  <si>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</si>
  <si>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</si>
  <si>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</si>
  <si>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</si>
  <si>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</si>
  <si>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</si>
  <si>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</si>
  <si>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</si>
  <si>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</si>
  <si>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</si>
  <si>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</si>
  <si>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</si>
  <si>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</si>
  <si>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</si>
  <si>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</si>
  <si>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</si>
  <si>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</si>
  <si>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</si>
  <si>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</si>
  <si>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</si>
  <si>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</si>
  <si>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</si>
  <si>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</si>
  <si>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</si>
  <si>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</si>
  <si>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</si>
  <si>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</si>
  <si>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</si>
  <si>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</si>
  <si>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</si>
  <si>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</si>
  <si>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</si>
  <si>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</si>
  <si>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</si>
  <si>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</si>
  <si>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</si>
  <si>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</si>
  <si>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</si>
  <si>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</si>
  <si>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</si>
  <si>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</si>
  <si>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</si>
  <si>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</si>
  <si>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</si>
  <si>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</si>
  <si>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</si>
  <si>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</si>
  <si>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</si>
  <si>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</si>
  <si>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</si>
  <si>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</si>
  <si>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</si>
  <si>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</si>
  <si>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</si>
  <si>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</si>
  <si>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</si>
  <si>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</si>
  <si>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</si>
  <si>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</si>
  <si>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</si>
  <si>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</si>
  <si>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</si>
  <si>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</si>
  <si>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</si>
  <si>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</si>
  <si>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</si>
  <si>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</si>
  <si>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</si>
  <si>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</si>
  <si>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</si>
  <si>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</si>
  <si>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</si>
  <si>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</si>
  <si>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</si>
  <si>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</si>
  <si>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</si>
  <si>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</si>
  <si>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</si>
  <si>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</si>
  <si>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</si>
  <si>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</si>
  <si>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</si>
  <si>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</si>
  <si>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</si>
  <si>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</si>
  <si>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</si>
  <si>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</si>
  <si>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</si>
  <si>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</si>
  <si>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</si>
  <si>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</si>
  <si>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</si>
  <si>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</si>
  <si>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</si>
  <si>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</si>
  <si>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</si>
  <si>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</si>
  <si>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</si>
  <si>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</si>
  <si>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</si>
  <si>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</si>
  <si>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</si>
  <si>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</si>
  <si>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</si>
  <si>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</si>
  <si>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</si>
  <si>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</si>
  <si>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</si>
  <si>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</si>
  <si>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</si>
  <si>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</si>
  <si>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</si>
  <si>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</si>
  <si>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</si>
  <si>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</si>
  <si>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</si>
  <si>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</si>
  <si>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</si>
  <si>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</si>
  <si>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</si>
  <si>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</si>
  <si>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</si>
  <si>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</si>
  <si>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</si>
  <si>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</si>
  <si>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</si>
  <si>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</si>
  <si>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</si>
  <si>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</si>
  <si>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</si>
  <si>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</si>
  <si>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</si>
  <si>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</si>
  <si>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</si>
  <si>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</si>
  <si>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</si>
  <si>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</si>
  <si>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</si>
  <si>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</si>
  <si>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</si>
  <si>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</si>
  <si>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</si>
  <si>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</si>
  <si>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</si>
  <si>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</si>
  <si>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</si>
  <si>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</si>
  <si>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</si>
  <si>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</si>
  <si>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</si>
  <si>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</si>
  <si>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</si>
  <si>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</si>
  <si>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</si>
  <si>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</si>
  <si>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</si>
  <si>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</si>
  <si>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</si>
  <si>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</si>
  <si>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</si>
  <si>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</si>
  <si>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</si>
  <si>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</si>
  <si>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</si>
  <si>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</si>
  <si>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</si>
  <si>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</si>
  <si>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</si>
  <si>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</si>
  <si>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</si>
  <si>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</si>
  <si>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</si>
  <si>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</si>
  <si>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</si>
  <si>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</si>
  <si>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</si>
  <si>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</si>
  <si>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</si>
  <si>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</si>
  <si>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</si>
  <si>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</si>
  <si>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</si>
  <si>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</si>
  <si>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</si>
  <si>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</si>
  <si>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</si>
  <si>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</si>
  <si>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</si>
  <si>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</si>
  <si>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</si>
  <si>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</si>
  <si>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</si>
  <si>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</si>
  <si>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</si>
  <si>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</si>
  <si>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</si>
  <si>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</si>
  <si>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</si>
  <si>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</si>
  <si>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</si>
  <si>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</si>
  <si>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</si>
  <si>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</si>
  <si>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</si>
  <si>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</si>
  <si>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</si>
  <si>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</si>
  <si>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</si>
  <si>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</si>
  <si>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</si>
  <si>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</si>
  <si>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</si>
  <si>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</si>
  <si>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</si>
  <si>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</si>
  <si>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</si>
  <si>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</si>
  <si>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</si>
  <si>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</si>
  <si>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</si>
  <si>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</si>
  <si>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</si>
  <si>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</si>
  <si>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</si>
  <si>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</si>
  <si>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</si>
  <si>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</si>
  <si>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</si>
  <si>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</si>
  <si>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</si>
  <si>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</si>
  <si>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</si>
  <si>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</si>
  <si>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</si>
  <si>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</si>
  <si>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</si>
  <si>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</si>
  <si>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</si>
  <si>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</si>
  <si>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</si>
  <si>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</si>
  <si>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</si>
  <si>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</si>
  <si>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</si>
  <si>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</si>
  <si>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</si>
  <si>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</si>
  <si>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</si>
  <si>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</si>
  <si>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</si>
  <si>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</si>
  <si>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</si>
  <si>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</si>
  <si>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</si>
  <si>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</si>
  <si>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</si>
  <si>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</si>
  <si>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</si>
  <si>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</si>
  <si>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</si>
  <si>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</si>
  <si>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</si>
  <si>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</si>
  <si>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</si>
  <si>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</si>
  <si>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</si>
  <si>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</si>
  <si>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</si>
  <si>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</si>
  <si>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</si>
  <si>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</si>
  <si>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</si>
  <si>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</si>
  <si>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</si>
  <si>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</si>
  <si>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</si>
  <si>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</si>
  <si>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</si>
  <si>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</si>
  <si>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</si>
  <si>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</si>
  <si>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</si>
  <si>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</si>
  <si>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</si>
  <si>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</si>
  <si>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</si>
  <si>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</si>
  <si>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</si>
  <si>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</si>
  <si>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</si>
  <si>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</si>
  <si>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</si>
  <si>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</si>
  <si>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</si>
  <si>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</si>
  <si>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</si>
  <si>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</si>
  <si>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</si>
  <si>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</si>
  <si>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</si>
  <si>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</si>
  <si>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</si>
  <si>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</si>
  <si>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</si>
  <si>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</si>
  <si>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</si>
  <si>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</si>
  <si>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</si>
  <si>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</si>
  <si>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</si>
  <si>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</si>
  <si>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</si>
  <si>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</si>
  <si>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</si>
  <si>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</si>
  <si>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</si>
  <si>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</si>
  <si>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</si>
  <si>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</si>
  <si>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</si>
  <si>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</si>
  <si>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</si>
  <si>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</si>
  <si>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</si>
  <si>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</si>
  <si>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</si>
  <si>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</si>
  <si>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</si>
  <si>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</si>
  <si>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</si>
  <si>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</si>
  <si>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</si>
  <si>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</si>
  <si>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</si>
  <si>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</si>
  <si>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</si>
  <si>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</si>
  <si>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</si>
  <si>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</si>
  <si>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</si>
  <si>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</si>
  <si>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</si>
  <si>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</si>
  <si>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</si>
  <si>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</si>
  <si>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</si>
  <si>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</si>
  <si>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</si>
  <si>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</si>
  <si>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</si>
  <si>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</si>
  <si>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</si>
  <si>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</si>
  <si>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</si>
  <si>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</si>
  <si>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</si>
  <si>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</si>
  <si>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</si>
  <si>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</si>
  <si>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</si>
  <si>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</si>
  <si>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</si>
  <si>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</si>
  <si>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</si>
  <si>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</si>
  <si>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</si>
  <si>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</si>
  <si>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</si>
  <si>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</si>
  <si>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</si>
  <si>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</si>
  <si>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</si>
  <si>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</si>
  <si>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</si>
  <si>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</si>
  <si>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</si>
  <si>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</si>
  <si>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</si>
  <si>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</si>
  <si>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</si>
  <si>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</si>
  <si>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</si>
  <si>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</si>
  <si>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</si>
  <si>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</si>
  <si>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</si>
  <si>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</si>
  <si>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</si>
  <si>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</si>
  <si>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</si>
  <si>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</si>
  <si>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</si>
  <si>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</si>
  <si>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</si>
  <si>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</si>
  <si>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</si>
  <si>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</si>
  <si>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</si>
  <si>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</si>
  <si>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</si>
  <si>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</si>
  <si>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</si>
  <si>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</si>
  <si>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</si>
  <si>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</si>
  <si>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</si>
  <si>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</si>
  <si>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</si>
  <si>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</si>
  <si>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</si>
  <si>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</si>
  <si>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</si>
  <si>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</si>
  <si>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</si>
  <si>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</si>
  <si>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</si>
  <si>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</si>
  <si>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</si>
  <si>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</si>
  <si>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</si>
  <si>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</si>
  <si>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</si>
  <si>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</si>
  <si>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</si>
  <si>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</si>
  <si>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</si>
  <si>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</si>
  <si>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</si>
  <si>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</si>
  <si>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</si>
  <si>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</si>
  <si>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</si>
  <si>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</si>
  <si>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</si>
  <si>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</si>
  <si>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</si>
  <si>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</si>
  <si>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</si>
  <si>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</si>
  <si>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</si>
  <si>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</si>
  <si>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</si>
  <si>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</si>
  <si>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</si>
  <si>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</si>
  <si>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</si>
  <si>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</si>
  <si>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</si>
  <si>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</si>
  <si>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</si>
  <si>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</si>
  <si>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</si>
  <si>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</si>
  <si>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</si>
  <si>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</si>
  <si>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</si>
  <si>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</si>
  <si>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</si>
  <si>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</si>
  <si>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</si>
  <si>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</si>
  <si>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</si>
  <si>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</si>
  <si>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</si>
  <si>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</si>
  <si>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</si>
  <si>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</si>
  <si>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</si>
  <si>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</si>
  <si>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</si>
  <si>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</si>
  <si>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</si>
  <si>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</si>
  <si>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</si>
  <si>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</si>
  <si>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</si>
  <si>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</si>
  <si>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</si>
  <si>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</si>
  <si>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</si>
  <si>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</si>
  <si>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</si>
  <si>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</si>
  <si>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</si>
  <si>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</si>
  <si>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</si>
  <si>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</si>
  <si>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</si>
  <si>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</si>
  <si>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</si>
  <si>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</si>
  <si>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</si>
  <si>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</si>
  <si>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</si>
  <si>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</si>
  <si>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</si>
  <si>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</si>
  <si>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</si>
  <si>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</si>
  <si>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</si>
  <si>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</si>
  <si>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</si>
  <si>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</si>
  <si>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</si>
  <si>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</si>
  <si>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</si>
  <si>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</si>
  <si>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</si>
  <si>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</si>
  <si>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</si>
  <si>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</si>
  <si>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</si>
  <si>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</si>
  <si>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</si>
  <si>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</si>
  <si>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</si>
  <si>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</si>
  <si>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</si>
  <si>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</si>
  <si>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</si>
  <si>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</si>
  <si>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</si>
  <si>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</si>
  <si>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</si>
  <si>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</si>
  <si>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</si>
  <si>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</si>
  <si>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</si>
  <si>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</si>
  <si>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</si>
  <si>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</si>
  <si>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</si>
  <si>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</si>
  <si>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</si>
  <si>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</si>
  <si>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</si>
  <si>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</si>
  <si>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</si>
  <si>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</si>
  <si>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</si>
  <si>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</si>
  <si>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</si>
  <si>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</si>
  <si>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</si>
  <si>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</si>
  <si>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</si>
  <si>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</si>
  <si>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</si>
  <si>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</si>
  <si>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</si>
  <si>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</si>
  <si>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</si>
  <si>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</si>
  <si>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</si>
  <si>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</si>
  <si>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</si>
  <si>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</si>
  <si>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</si>
  <si>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</si>
  <si>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</si>
  <si>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</si>
  <si>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</si>
  <si>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</si>
  <si>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</si>
  <si>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</si>
  <si>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</si>
  <si>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</si>
  <si>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</si>
  <si>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</si>
  <si>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</si>
  <si>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</si>
  <si>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</si>
  <si>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</si>
  <si>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</si>
  <si>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</si>
  <si>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</si>
  <si>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</si>
  <si>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</si>
  <si>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</si>
  <si>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</si>
  <si>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</si>
  <si>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</si>
  <si>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</si>
  <si>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</si>
  <si>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</si>
  <si>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</si>
  <si>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</si>
  <si>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</si>
  <si>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</si>
  <si>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</si>
  <si>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</si>
  <si>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</si>
  <si>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</si>
  <si>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</si>
  <si>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</si>
  <si>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</si>
  <si>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</si>
  <si>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</si>
  <si>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</si>
  <si>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</si>
  <si>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</si>
  <si>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</si>
  <si>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</si>
  <si>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</si>
  <si>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</si>
  <si>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</si>
  <si>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</si>
  <si>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</si>
  <si>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</si>
  <si>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</si>
  <si>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</si>
  <si>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</si>
  <si>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</si>
  <si>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</si>
  <si>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</si>
  <si>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</si>
  <si>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</si>
  <si>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</si>
  <si>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</si>
  <si>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</si>
  <si>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</si>
  <si>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</si>
  <si>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</si>
  <si>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</si>
  <si>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</si>
  <si>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</si>
  <si>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</si>
  <si>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</si>
  <si>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</si>
  <si>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</si>
  <si>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</si>
  <si>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</si>
  <si>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</si>
  <si>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</si>
  <si>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</si>
  <si>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</si>
  <si>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</si>
  <si>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</si>
  <si>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</si>
  <si>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</si>
  <si>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</si>
  <si>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</si>
  <si>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</si>
  <si>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</si>
  <si>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</si>
  <si>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</si>
  <si>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</si>
  <si>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</si>
  <si>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</si>
  <si>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</si>
  <si>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</si>
  <si>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</si>
  <si>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</si>
  <si>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</si>
  <si>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</si>
  <si>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</si>
  <si>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</si>
  <si>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</si>
  <si>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</si>
  <si>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</si>
  <si>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</si>
  <si>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</si>
  <si>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</si>
  <si>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</si>
  <si>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</si>
  <si>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</si>
  <si>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</si>
  <si>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</si>
  <si>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</si>
  <si>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</si>
  <si>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</si>
  <si>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</si>
  <si>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</si>
  <si>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</si>
  <si>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</si>
  <si>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</si>
  <si>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</si>
  <si>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</si>
  <si>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</si>
  <si>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</si>
  <si>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</si>
  <si>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</si>
  <si>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</si>
  <si>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</si>
  <si>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</si>
  <si>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</si>
  <si>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</si>
  <si>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</si>
  <si>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</si>
  <si>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</si>
  <si>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</si>
  <si>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</si>
  <si>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</si>
  <si>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</si>
  <si>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</si>
  <si>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</si>
  <si>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</si>
  <si>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</si>
  <si>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</si>
  <si>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</si>
  <si>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</si>
  <si>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</si>
  <si>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</si>
  <si>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</si>
  <si>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</si>
  <si>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</si>
  <si>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</si>
  <si>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</si>
  <si>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</si>
  <si>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</si>
  <si>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</si>
  <si>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</si>
  <si>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</si>
  <si>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</si>
  <si>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</si>
  <si>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</si>
  <si>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</si>
  <si>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</si>
  <si>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</si>
  <si>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</si>
  <si>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</si>
  <si>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</si>
  <si>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</si>
  <si>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</si>
  <si>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</si>
  <si>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</si>
  <si>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</si>
  <si>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</si>
  <si>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</si>
  <si>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</si>
  <si>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</si>
  <si>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</si>
  <si>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</si>
  <si>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</si>
  <si>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</si>
  <si>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</si>
  <si>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</si>
  <si>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</si>
  <si>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</si>
  <si>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</si>
  <si>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</si>
  <si>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</si>
  <si>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</si>
  <si>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</si>
  <si>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</si>
  <si>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</si>
  <si>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</si>
  <si>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</si>
  <si>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</si>
  <si>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</si>
  <si>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</si>
  <si>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</si>
  <si>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</si>
  <si>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</si>
  <si>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</si>
  <si>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</si>
  <si>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</si>
  <si>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</si>
  <si>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</si>
  <si>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</si>
  <si>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</si>
  <si>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</si>
  <si>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</si>
  <si>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</si>
  <si>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</si>
  <si>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</si>
  <si>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</si>
  <si>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</si>
  <si>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</si>
  <si>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</si>
  <si>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</si>
  <si>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</si>
  <si>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</si>
  <si>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</si>
  <si>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</si>
  <si>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</si>
  <si>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</si>
  <si>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</si>
  <si>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</si>
  <si>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</si>
  <si>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</si>
  <si>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</si>
  <si>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</si>
  <si>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</si>
  <si>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</si>
  <si>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</si>
  <si>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</si>
  <si>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</si>
  <si>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</si>
  <si>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</si>
  <si>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</si>
  <si>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</si>
  <si>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</si>
  <si>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</si>
  <si>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</si>
  <si>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</si>
  <si>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</si>
  <si>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</si>
  <si>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</si>
  <si>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</si>
  <si>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</si>
  <si>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</si>
  <si>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</si>
  <si>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</si>
  <si>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</si>
  <si>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</si>
  <si>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</si>
  <si>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</si>
  <si>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</si>
  <si>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</si>
  <si>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</si>
  <si>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</si>
  <si>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</si>
  <si>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</si>
  <si>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</si>
  <si>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</si>
  <si>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</si>
  <si>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</si>
  <si>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</si>
  <si>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</si>
  <si>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</si>
  <si>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</si>
  <si>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</si>
  <si>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</si>
  <si>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</si>
  <si>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</si>
  <si>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</si>
  <si>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</si>
  <si>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</si>
  <si>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</si>
  <si>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</si>
  <si>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</si>
  <si>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</si>
  <si>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</si>
  <si>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</si>
  <si>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</si>
  <si>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</si>
  <si>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</si>
  <si>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</si>
  <si>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</si>
  <si>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</si>
  <si>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</si>
  <si>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</si>
  <si>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</si>
  <si>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</si>
  <si>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</si>
  <si>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</si>
  <si>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</si>
  <si>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</si>
  <si>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</si>
  <si>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</si>
  <si>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</si>
  <si>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</si>
  <si>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</si>
  <si>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</si>
  <si>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</si>
  <si>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</si>
  <si>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</si>
  <si>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</si>
  <si>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</si>
  <si>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</si>
  <si>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</si>
  <si>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</si>
  <si>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</si>
  <si>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</si>
  <si>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</si>
  <si>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</si>
  <si>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</si>
  <si>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</si>
  <si>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</si>
  <si>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</si>
  <si>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</si>
  <si>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</si>
  <si>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</si>
  <si>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</si>
  <si>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</si>
  <si>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</si>
  <si>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</si>
  <si>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</si>
  <si>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</si>
  <si>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</si>
  <si>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</si>
  <si>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</si>
  <si>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</si>
  <si>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</si>
  <si>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</si>
  <si>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</si>
  <si>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</si>
  <si>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</si>
  <si>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</si>
  <si>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</si>
  <si>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</si>
  <si>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</si>
  <si>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</si>
  <si>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</si>
  <si>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</si>
  <si>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</si>
  <si>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</si>
  <si>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</si>
  <si>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</si>
  <si>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</si>
  <si>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</si>
  <si>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</si>
  <si>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</si>
  <si>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</si>
  <si>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</si>
  <si>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</si>
  <si>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</si>
  <si>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</si>
  <si>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</si>
  <si>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</si>
  <si>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</si>
  <si>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</si>
  <si>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</si>
  <si>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</si>
  <si>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</si>
  <si>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</si>
  <si>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</si>
  <si>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</si>
  <si>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</si>
  <si>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</si>
  <si>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</si>
  <si>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</si>
  <si>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</si>
  <si>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</si>
  <si>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</si>
  <si>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</si>
  <si>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</si>
  <si>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</si>
  <si>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</si>
  <si>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</si>
  <si>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</si>
  <si>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</si>
  <si>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</si>
  <si>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</si>
  <si>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</si>
  <si>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</si>
  <si>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</si>
  <si>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</si>
  <si>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</si>
  <si>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</si>
  <si>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</si>
  <si>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</si>
  <si>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</si>
  <si>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</si>
  <si>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</si>
  <si>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</si>
  <si>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</si>
  <si>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</si>
  <si>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</si>
  <si>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</si>
  <si>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</si>
  <si>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</si>
  <si>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</si>
  <si>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</si>
  <si>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</si>
  <si>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</si>
  <si>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</si>
  <si>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</si>
  <si>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</si>
  <si>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</si>
  <si>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</si>
  <si>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</si>
  <si>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</si>
  <si>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</si>
  <si>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</si>
  <si>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</si>
  <si>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</si>
  <si>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</si>
  <si>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</si>
  <si>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</si>
  <si>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</si>
  <si>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</si>
  <si>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</si>
  <si>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</si>
  <si>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</si>
  <si>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</si>
  <si>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</si>
  <si>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</si>
  <si>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</si>
  <si>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</si>
  <si>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</si>
  <si>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</si>
  <si>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</si>
  <si>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</si>
  <si>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</si>
  <si>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</si>
  <si>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</si>
  <si>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</si>
  <si>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</si>
  <si>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</si>
  <si>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</si>
  <si>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</si>
  <si>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</si>
  <si>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</si>
  <si>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</si>
  <si>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</si>
  <si>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</si>
  <si>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</si>
  <si>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</si>
  <si>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</si>
  <si>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</si>
  <si>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</si>
  <si>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</si>
  <si>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</si>
  <si>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</si>
  <si>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</si>
  <si>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</si>
  <si>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</si>
  <si>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</si>
  <si>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</si>
  <si>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</si>
  <si>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</si>
  <si>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</si>
  <si>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</si>
  <si>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</si>
  <si>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</si>
  <si>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</si>
  <si>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</si>
  <si>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</si>
  <si>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</si>
  <si>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</si>
  <si>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</si>
  <si>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</si>
  <si>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</si>
  <si>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</si>
  <si>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</si>
  <si>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</si>
  <si>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</si>
  <si>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</si>
  <si>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</si>
  <si>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</si>
  <si>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</si>
  <si>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</si>
  <si>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</si>
  <si>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</si>
  <si>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</si>
  <si>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</si>
  <si>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</si>
  <si>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</si>
  <si>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</si>
  <si>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</si>
  <si>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</si>
  <si>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</si>
  <si>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</si>
  <si>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</si>
  <si>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</si>
  <si>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</si>
  <si>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</si>
  <si>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</si>
  <si>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</si>
  <si>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</si>
  <si>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</si>
  <si>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</si>
  <si>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</si>
  <si>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</si>
  <si>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</si>
  <si>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</si>
  <si>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</si>
  <si>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</si>
  <si>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</si>
  <si>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</si>
  <si>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</si>
  <si>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</si>
  <si>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</si>
  <si>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</si>
  <si>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</si>
  <si>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</si>
  <si>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</si>
  <si>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</si>
  <si>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</si>
  <si>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</si>
  <si>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</si>
  <si>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</si>
  <si>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</si>
  <si>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</si>
  <si>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</si>
  <si>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</si>
  <si>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</si>
  <si>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</si>
  <si>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</si>
  <si>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</si>
  <si>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</si>
  <si>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</si>
  <si>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</si>
  <si>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</si>
  <si>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</si>
  <si>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</si>
  <si>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</si>
  <si>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</si>
  <si>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</si>
  <si>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</si>
  <si>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</si>
  <si>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</si>
  <si>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</si>
  <si>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</si>
  <si>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</si>
  <si>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</si>
  <si>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</si>
  <si>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</si>
  <si>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</si>
  <si>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</si>
  <si>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</si>
  <si>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</si>
  <si>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</si>
  <si>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</si>
  <si>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</si>
  <si>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</si>
  <si>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</si>
  <si>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</si>
  <si>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</si>
  <si>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</si>
  <si>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</si>
  <si>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</si>
  <si>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</si>
  <si>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</si>
  <si>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</si>
  <si>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</si>
  <si>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</si>
  <si>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</si>
  <si>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</si>
  <si>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</si>
  <si>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</si>
  <si>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</si>
  <si>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</si>
  <si>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</si>
  <si>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</si>
  <si>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</si>
  <si>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</si>
  <si>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</si>
  <si>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</si>
  <si>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</si>
  <si>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</si>
  <si>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</si>
  <si>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</si>
  <si>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</si>
  <si>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</si>
  <si>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</si>
  <si>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</si>
  <si>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</si>
  <si>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</si>
  <si>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</si>
  <si>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</si>
  <si>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</si>
  <si>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</si>
  <si>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</si>
  <si>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</si>
  <si>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</si>
  <si>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</si>
  <si>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</si>
  <si>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</si>
  <si>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</si>
  <si>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</si>
  <si>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</si>
  <si>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</si>
  <si>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</si>
  <si>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</si>
  <si>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</si>
  <si>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</si>
  <si>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</si>
  <si>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</si>
  <si>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</si>
  <si>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</si>
  <si>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</si>
  <si>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</si>
  <si>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</si>
  <si>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</si>
  <si>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</si>
  <si>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</si>
  <si>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</si>
  <si>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</si>
  <si>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</si>
  <si>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</si>
  <si>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</si>
  <si>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</si>
  <si>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</si>
  <si>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</si>
  <si>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</si>
  <si>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</si>
  <si>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</si>
  <si>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</si>
  <si>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</si>
  <si>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</si>
  <si>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</si>
  <si>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</si>
  <si>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</si>
  <si>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</si>
  <si>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</si>
  <si>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</si>
  <si>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</si>
  <si>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</si>
  <si>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</si>
  <si>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</si>
  <si>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</si>
  <si>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</si>
  <si>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</si>
  <si>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</si>
  <si>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</si>
  <si>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</si>
  <si>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</si>
  <si>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</si>
  <si>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</si>
  <si>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</si>
  <si>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</si>
  <si>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</si>
  <si>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</si>
  <si>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</si>
  <si>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</si>
  <si>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</si>
  <si>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</si>
  <si>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</si>
  <si>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</si>
  <si>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</si>
  <si>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</si>
  <si>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</si>
  <si>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</si>
  <si>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</si>
  <si>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</si>
  <si>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</si>
  <si>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</si>
  <si>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</si>
  <si>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</si>
  <si>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</si>
  <si>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</si>
  <si>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</si>
  <si>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</si>
  <si>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</si>
  <si>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</si>
  <si>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</si>
  <si>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</si>
  <si>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</si>
  <si>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</si>
  <si>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</si>
  <si>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</si>
  <si>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</si>
  <si>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</si>
  <si>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</si>
  <si>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</si>
  <si>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</si>
  <si>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</si>
  <si>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</si>
  <si>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</si>
  <si>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</si>
  <si>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</si>
  <si>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</si>
  <si>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</si>
  <si>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</si>
  <si>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</si>
  <si>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</si>
  <si>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</si>
  <si>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</si>
  <si>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</si>
  <si>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</si>
  <si>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</si>
  <si>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</si>
  <si>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</si>
  <si>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</si>
  <si>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</si>
  <si>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</si>
  <si>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</si>
  <si>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</si>
  <si>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</si>
  <si>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</si>
  <si>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</si>
  <si>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</si>
  <si>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</si>
  <si>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</si>
  <si>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</si>
  <si>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</si>
  <si>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</si>
  <si>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</si>
  <si>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</si>
  <si>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</si>
  <si>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</si>
  <si>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</si>
  <si>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</si>
  <si>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</si>
  <si>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</si>
  <si>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</si>
  <si>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</si>
  <si>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</si>
  <si>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</si>
  <si>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</si>
  <si>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</si>
  <si>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</si>
  <si>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</si>
  <si>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</si>
  <si>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</si>
  <si>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</si>
  <si>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</si>
  <si>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</si>
  <si>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</si>
  <si>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</si>
  <si>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</si>
  <si>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</si>
  <si>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</si>
  <si>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</si>
  <si>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</si>
  <si>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</si>
  <si>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</si>
  <si>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</si>
  <si>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</si>
  <si>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</si>
  <si>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</si>
  <si>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</si>
  <si>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</si>
  <si>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</si>
  <si>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</si>
  <si>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</si>
  <si>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</si>
  <si>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</si>
  <si>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</si>
  <si>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</si>
  <si>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</si>
  <si>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</si>
  <si>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</si>
  <si>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</si>
  <si>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</si>
  <si>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</si>
  <si>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</si>
  <si>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</si>
  <si>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</si>
  <si>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</si>
  <si>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</si>
  <si>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</si>
  <si>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</si>
  <si>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</si>
  <si>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</si>
  <si>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</si>
  <si>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</si>
  <si>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</si>
  <si>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</si>
  <si>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</si>
  <si>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</si>
  <si>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</si>
  <si>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</si>
  <si>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</si>
  <si>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</si>
  <si>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</si>
  <si>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</si>
  <si>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</si>
  <si>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</si>
  <si>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</si>
  <si>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</si>
  <si>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</si>
  <si>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</si>
  <si>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</si>
  <si>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</si>
  <si>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</si>
  <si>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</si>
  <si>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</si>
  <si>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</si>
  <si>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</si>
  <si>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</si>
  <si>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</si>
  <si>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</si>
  <si>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</si>
  <si>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</si>
  <si>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</si>
  <si>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</si>
  <si>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</si>
  <si>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</si>
  <si>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</si>
  <si>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</si>
  <si>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</si>
  <si>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</si>
  <si>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</si>
  <si>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</si>
  <si>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</si>
  <si>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</si>
  <si>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</si>
  <si>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</si>
  <si>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</si>
  <si>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</si>
  <si>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</si>
  <si>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</si>
  <si>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</si>
  <si>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</si>
  <si>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</si>
  <si>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</si>
  <si>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</si>
  <si>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</si>
  <si>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</si>
  <si>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</si>
  <si>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</si>
  <si>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</si>
  <si>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</si>
  <si>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</si>
  <si>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</si>
  <si>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</si>
  <si>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</si>
  <si>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</si>
  <si>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</si>
  <si>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</si>
  <si>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</si>
  <si>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</si>
  <si>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</si>
  <si>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</si>
  <si>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</si>
  <si>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</si>
  <si>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</si>
  <si>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</si>
  <si>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</si>
  <si>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</si>
  <si>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</si>
  <si>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</si>
  <si>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</si>
  <si>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</si>
  <si>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</si>
  <si>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</si>
  <si>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</si>
  <si>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</si>
  <si>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</si>
  <si>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</si>
  <si>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</si>
  <si>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</si>
  <si>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</si>
  <si>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</si>
  <si>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</si>
  <si>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</si>
  <si>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</si>
  <si>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</si>
  <si>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</si>
  <si>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</si>
  <si>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</si>
  <si>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</si>
  <si>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</si>
  <si>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</si>
  <si>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</si>
  <si>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</si>
  <si>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</si>
  <si>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</si>
  <si>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</si>
  <si>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</si>
  <si>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</si>
  <si>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</si>
  <si>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</si>
  <si>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</si>
  <si>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</si>
  <si>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</si>
  <si>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</si>
  <si>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</si>
  <si>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</si>
  <si>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</si>
  <si>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</si>
  <si>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</si>
  <si>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</si>
  <si>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</si>
  <si>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</si>
  <si>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</si>
  <si>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</si>
  <si>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</si>
  <si>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</si>
  <si>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</si>
  <si>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</si>
  <si>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</si>
  <si>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</si>
  <si>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</si>
  <si>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</si>
  <si>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</si>
  <si>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</si>
  <si>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</si>
  <si>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</si>
  <si>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</si>
  <si>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</si>
  <si>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</si>
  <si>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</si>
  <si>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</si>
  <si>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</si>
  <si>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</si>
  <si>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</si>
  <si>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</si>
  <si>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</si>
  <si>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</si>
  <si>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</si>
  <si>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</si>
  <si>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</si>
  <si>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</si>
  <si>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</si>
  <si>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</si>
  <si>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</si>
  <si>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</si>
  <si>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</si>
  <si>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</si>
  <si>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</si>
  <si>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</si>
  <si>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</si>
  <si>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</si>
  <si>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</si>
  <si>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</si>
  <si>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</si>
  <si>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</si>
  <si>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</si>
  <si>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</si>
  <si>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</si>
  <si>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</si>
  <si>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</si>
  <si>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</si>
  <si>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</si>
  <si>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</si>
  <si>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</si>
  <si>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</si>
  <si>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</si>
  <si>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</si>
  <si>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</si>
  <si>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</si>
  <si>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</si>
  <si>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</si>
  <si>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</si>
  <si>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</si>
  <si>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</si>
  <si>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</si>
  <si>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</si>
  <si>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</si>
  <si>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</si>
  <si>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</si>
  <si>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</si>
  <si>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</si>
  <si>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</si>
  <si>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</si>
  <si>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</si>
  <si>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</si>
  <si>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</si>
  <si>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</si>
  <si>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</si>
  <si>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</si>
  <si>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</si>
  <si>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</si>
  <si>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</si>
  <si>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</si>
  <si>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</si>
  <si>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</si>
  <si>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</si>
  <si>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</si>
  <si>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</si>
  <si>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</si>
  <si>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</si>
  <si>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</si>
  <si>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</si>
  <si>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</si>
  <si>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</si>
  <si>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</si>
  <si>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</si>
  <si>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</si>
  <si>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</si>
  <si>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</si>
  <si>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</si>
  <si>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</si>
  <si>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</si>
  <si>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</si>
  <si>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</si>
  <si>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</si>
  <si>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</si>
  <si>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</si>
  <si>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</si>
  <si>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</si>
  <si>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</si>
  <si>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</si>
  <si>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</si>
  <si>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</si>
  <si>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</si>
  <si>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</si>
  <si>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</si>
  <si>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</si>
  <si>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</si>
  <si>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</si>
  <si>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</si>
  <si>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</si>
  <si>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</si>
  <si>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</si>
  <si>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</si>
  <si>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</si>
  <si>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</si>
  <si>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</si>
  <si>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</si>
  <si>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</si>
  <si>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</si>
  <si>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</si>
  <si>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</si>
  <si>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</si>
  <si>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</si>
  <si>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</si>
  <si>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</si>
  <si>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</si>
  <si>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</si>
  <si>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</si>
  <si>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</si>
  <si>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</si>
  <si>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</si>
  <si>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</si>
  <si>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</si>
  <si>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</si>
  <si>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</si>
  <si>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</si>
  <si>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</si>
  <si>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</si>
  <si>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</si>
  <si>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</si>
  <si>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</si>
  <si>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</si>
  <si>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</si>
  <si>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</si>
  <si>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</si>
  <si>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</si>
  <si>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</si>
  <si>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</si>
  <si>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</si>
  <si>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</si>
  <si>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</si>
  <si>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</si>
  <si>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</si>
  <si>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</si>
  <si>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</si>
  <si>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</si>
  <si>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</si>
  <si>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</si>
  <si>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</si>
  <si>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</si>
  <si>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</si>
  <si>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</si>
  <si>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</si>
  <si>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</si>
  <si>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</si>
  <si>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</si>
  <si>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</si>
  <si>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</si>
  <si>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</si>
  <si>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</si>
  <si>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</si>
  <si>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</si>
  <si>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</si>
  <si>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</si>
  <si>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</si>
  <si>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</si>
  <si>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</si>
  <si>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</si>
  <si>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</si>
  <si>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</si>
  <si>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</si>
  <si>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</si>
  <si>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</si>
  <si>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</si>
  <si>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</si>
  <si>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</si>
  <si>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</si>
  <si>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</si>
  <si>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</si>
  <si>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</si>
  <si>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</si>
  <si>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</si>
  <si>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</si>
  <si>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</si>
  <si>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</si>
  <si>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</si>
  <si>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</si>
  <si>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</si>
  <si>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</si>
  <si>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</si>
  <si>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</si>
  <si>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</si>
  <si>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</si>
  <si>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</si>
  <si>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</si>
  <si>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</si>
  <si>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</si>
  <si>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</si>
  <si>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</si>
  <si>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</si>
  <si>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</si>
  <si>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</si>
  <si>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</si>
  <si>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</si>
  <si>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</si>
  <si>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</si>
  <si>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</si>
  <si>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</si>
  <si>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</si>
  <si>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</si>
  <si>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</si>
  <si>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</si>
  <si>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</si>
  <si>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</si>
  <si>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</si>
  <si>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</si>
  <si>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</si>
  <si>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</si>
  <si>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</si>
  <si>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</si>
  <si>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</si>
  <si>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</si>
  <si>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</si>
  <si>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</si>
  <si>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</si>
  <si>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</si>
  <si>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</si>
  <si>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</si>
  <si>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</si>
  <si>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</si>
  <si>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</si>
  <si>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</si>
  <si>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</si>
  <si>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</si>
  <si>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</si>
  <si>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</si>
  <si>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</si>
  <si>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</si>
  <si>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</si>
  <si>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</si>
  <si>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</si>
  <si>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</si>
  <si>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</si>
  <si>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</si>
  <si>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</si>
  <si>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</si>
  <si>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</si>
  <si>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</si>
  <si>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</si>
  <si>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</si>
  <si>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</si>
  <si>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</si>
  <si>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</si>
  <si>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</si>
  <si>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</si>
  <si>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</si>
  <si>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</si>
  <si>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</si>
  <si>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</si>
  <si>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</si>
  <si>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</si>
  <si>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</si>
  <si>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</si>
  <si>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</si>
  <si>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</si>
  <si>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</si>
  <si>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</si>
  <si>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</si>
  <si>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</si>
  <si>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</si>
  <si>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</si>
  <si>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</si>
  <si>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</si>
  <si>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</si>
  <si>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</si>
  <si>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</si>
  <si>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</si>
  <si>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</si>
  <si>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</si>
  <si>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</si>
  <si>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</si>
  <si>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</si>
  <si>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</si>
  <si>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</si>
  <si>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</si>
  <si>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</si>
  <si>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</si>
  <si>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</si>
  <si>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</si>
  <si>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</si>
  <si>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</si>
  <si>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</si>
  <si>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</si>
  <si>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</si>
  <si>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</si>
  <si>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</si>
  <si>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</si>
  <si>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</si>
  <si>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</si>
  <si>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</si>
  <si>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</si>
  <si>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</si>
  <si>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</si>
  <si>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</si>
  <si>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</si>
  <si>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</si>
  <si>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</si>
  <si>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</si>
  <si>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</si>
  <si>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</si>
  <si>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</si>
  <si>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</si>
  <si>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</si>
  <si>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</si>
  <si>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</si>
  <si>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</si>
  <si>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</si>
  <si>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</si>
  <si>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</si>
  <si>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</si>
  <si>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</si>
  <si>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</si>
  <si>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</si>
  <si>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</si>
  <si>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</si>
  <si>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</si>
  <si>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</si>
  <si>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</si>
  <si>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</si>
  <si>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</si>
  <si>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</si>
  <si>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</si>
  <si>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</si>
  <si>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</si>
  <si>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</si>
  <si>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</si>
  <si>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</si>
  <si>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</si>
  <si>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</si>
  <si>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</si>
  <si>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</si>
  <si>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</si>
  <si>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</si>
  <si>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</si>
  <si>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</si>
  <si>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</si>
  <si>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</si>
  <si>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</si>
  <si>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</si>
  <si>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</si>
  <si>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</si>
  <si>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</si>
  <si>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</si>
  <si>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</si>
  <si>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</si>
  <si>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</si>
  <si>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</si>
  <si>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</si>
  <si>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</si>
  <si>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</si>
  <si>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</si>
  <si>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</si>
  <si>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</si>
  <si>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</si>
  <si>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</si>
  <si>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</si>
  <si>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</si>
  <si>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</si>
  <si>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</si>
  <si>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</si>
  <si>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</si>
  <si>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</si>
  <si>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</si>
  <si>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</si>
  <si>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</si>
  <si>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</si>
  <si>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</si>
  <si>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</si>
  <si>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</si>
  <si>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</si>
  <si>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</si>
  <si>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</si>
  <si>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</si>
  <si>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</si>
  <si>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</si>
  <si>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</si>
  <si>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</si>
  <si>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</si>
  <si>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</si>
  <si>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</si>
  <si>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</si>
  <si>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</si>
  <si>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</si>
  <si>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</si>
  <si>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</si>
  <si>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</si>
  <si>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</si>
  <si>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</si>
  <si>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</si>
  <si>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</si>
  <si>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</si>
  <si>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</si>
  <si>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</si>
  <si>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</si>
  <si>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</si>
  <si>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</si>
  <si>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</si>
  <si>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</si>
  <si>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</si>
  <si>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</si>
  <si>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</si>
  <si>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</si>
  <si>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</si>
  <si>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</si>
  <si>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</si>
  <si>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</si>
  <si>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</si>
  <si>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</si>
  <si>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</si>
  <si>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</si>
  <si>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</si>
  <si>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</si>
  <si>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</si>
  <si>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</si>
  <si>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</si>
  <si>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</si>
  <si>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</si>
  <si>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</si>
  <si>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</si>
  <si>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</si>
  <si>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</si>
  <si>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</si>
  <si>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</si>
  <si>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</si>
  <si>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</si>
  <si>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</si>
  <si>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</si>
  <si>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</si>
  <si>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</si>
  <si>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</si>
  <si>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</si>
  <si>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</si>
  <si>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</si>
  <si>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</si>
  <si>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</si>
  <si>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</si>
  <si>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</si>
  <si>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</si>
  <si>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</si>
  <si>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</si>
  <si>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</si>
  <si>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</si>
  <si>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</si>
  <si>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</si>
  <si>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</si>
  <si>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</si>
  <si>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</si>
  <si>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</si>
  <si>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</si>
  <si>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</si>
  <si>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</si>
  <si>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</si>
  <si>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</si>
  <si>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</si>
  <si>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</si>
  <si>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</si>
  <si>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</si>
  <si>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</si>
  <si>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</si>
  <si>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</si>
  <si>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</si>
  <si>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</si>
  <si>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</si>
  <si>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</si>
  <si>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</si>
  <si>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</si>
  <si>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</si>
  <si>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</si>
  <si>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</si>
  <si>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</si>
  <si>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</si>
  <si>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</si>
  <si>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</si>
  <si>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</si>
  <si>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</si>
  <si>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</si>
  <si>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</si>
  <si>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</si>
  <si>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</si>
  <si>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</si>
  <si>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</si>
  <si>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</si>
  <si>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</si>
  <si>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</si>
  <si>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</si>
  <si>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</si>
  <si>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</si>
  <si>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</si>
  <si>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</si>
  <si>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</si>
  <si>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</si>
  <si>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</si>
  <si>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</si>
  <si>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</si>
  <si>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</si>
  <si>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</si>
  <si>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</si>
  <si>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</si>
  <si>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</si>
  <si>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</si>
  <si>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</si>
  <si>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</si>
  <si>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</si>
  <si>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</si>
  <si>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</si>
  <si>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</si>
  <si>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</si>
  <si>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</si>
  <si>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</si>
  <si>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</si>
  <si>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</si>
  <si>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</si>
  <si>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</si>
  <si>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</si>
  <si>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</si>
  <si>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</si>
  <si>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</si>
  <si>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</si>
  <si>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</si>
  <si>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</si>
  <si>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</si>
  <si>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</si>
  <si>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</si>
  <si>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</si>
  <si>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</si>
  <si>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</si>
  <si>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</si>
  <si>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</si>
  <si>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</si>
  <si>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</si>
  <si>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</si>
  <si>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</si>
  <si>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</si>
  <si>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</si>
  <si>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</si>
  <si>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</si>
  <si>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</si>
  <si>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</si>
  <si>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</si>
  <si>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</si>
  <si>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</si>
  <si>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</si>
  <si>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</si>
  <si>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</si>
  <si>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</si>
  <si>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</si>
  <si>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</si>
  <si>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</si>
  <si>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</si>
  <si>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</si>
  <si>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</si>
  <si>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</si>
  <si>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</si>
  <si>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</si>
  <si>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</si>
  <si>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</si>
  <si>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</si>
  <si>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</si>
  <si>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</si>
  <si>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</si>
  <si>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</si>
  <si>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</si>
  <si>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</si>
  <si>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</si>
  <si>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</si>
  <si>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</si>
  <si>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</si>
  <si>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</si>
  <si>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</si>
  <si>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</si>
  <si>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</si>
  <si>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</si>
  <si>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</si>
  <si>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</si>
  <si>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</si>
  <si>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</si>
  <si>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</si>
  <si>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</si>
  <si>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</si>
  <si>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</si>
  <si>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</si>
  <si>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</si>
  <si>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</si>
  <si>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</si>
  <si>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</si>
  <si>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</si>
  <si>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</si>
  <si>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</si>
  <si>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</si>
  <si>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</si>
  <si>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</si>
  <si>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</si>
  <si>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</si>
  <si>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</si>
  <si>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</si>
  <si>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</si>
  <si>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</si>
  <si>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</si>
  <si>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</si>
  <si>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</si>
  <si>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</si>
  <si>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</si>
  <si>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</si>
  <si>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</si>
  <si>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</si>
  <si>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</si>
  <si>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</si>
  <si>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</si>
  <si>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</si>
  <si>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</si>
  <si>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</si>
  <si>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</si>
  <si>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</si>
  <si>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</si>
  <si>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</si>
  <si>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</si>
  <si>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</si>
  <si>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</si>
  <si>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</si>
  <si>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</si>
  <si>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</si>
  <si>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</si>
  <si>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</si>
  <si>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</si>
  <si>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</si>
  <si>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</si>
  <si>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</si>
  <si>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</si>
  <si>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</si>
  <si>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</si>
  <si>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</si>
  <si>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</si>
  <si>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</si>
  <si>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</si>
  <si>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</si>
  <si>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</si>
  <si>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</si>
  <si>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</si>
  <si>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</si>
  <si>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</si>
  <si>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</si>
  <si>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</si>
  <si>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</si>
  <si>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</si>
  <si>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</si>
  <si>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</si>
  <si>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</si>
  <si>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</si>
  <si>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</si>
  <si>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</si>
  <si>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</si>
  <si>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</si>
  <si>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</si>
  <si>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</si>
  <si>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</si>
  <si>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</si>
  <si>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</si>
  <si>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</si>
  <si>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</si>
  <si>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</si>
  <si>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</si>
  <si>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</si>
  <si>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</si>
  <si>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</si>
  <si>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</si>
  <si>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</si>
  <si>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</si>
  <si>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</si>
  <si>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</si>
  <si>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</si>
  <si>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</si>
  <si>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</si>
  <si>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</si>
  <si>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</si>
  <si>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</si>
  <si>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</si>
  <si>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</si>
  <si>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</si>
  <si>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</si>
  <si>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</si>
  <si>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</si>
  <si>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</si>
  <si>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</si>
  <si>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</si>
  <si>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</si>
  <si>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</si>
  <si>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</si>
  <si>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</si>
  <si>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</si>
  <si>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</si>
  <si>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</si>
  <si>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</si>
  <si>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</si>
  <si>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</si>
  <si>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</si>
  <si>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</si>
  <si>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</si>
  <si>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</si>
  <si>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</si>
  <si>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</si>
  <si>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</si>
  <si>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</si>
  <si>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</si>
  <si>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</si>
  <si>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</si>
  <si>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</si>
  <si>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</si>
  <si>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</si>
  <si>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</si>
  <si>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</si>
  <si>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</si>
  <si>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</si>
  <si>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</si>
  <si>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</si>
  <si>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</si>
  <si>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</si>
  <si>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</si>
  <si>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</si>
  <si>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</si>
  <si>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</si>
  <si>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</si>
  <si>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</si>
  <si>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</si>
  <si>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</si>
  <si>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</si>
  <si>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</si>
  <si>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</si>
  <si>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</si>
  <si>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</si>
  <si>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</si>
  <si>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</si>
  <si>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</si>
  <si>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</si>
  <si>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</si>
  <si>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</si>
  <si>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</si>
  <si>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</si>
  <si>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</si>
  <si>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</si>
  <si>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</si>
  <si>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</si>
  <si>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</si>
  <si>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</si>
  <si>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</si>
  <si>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</si>
  <si>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</si>
  <si>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</si>
  <si>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</si>
  <si>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</si>
  <si>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</si>
  <si>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</si>
  <si>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</si>
  <si>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</si>
  <si>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</si>
  <si>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</si>
  <si>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</si>
  <si>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</si>
  <si>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</si>
  <si>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</si>
  <si>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</si>
  <si>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</si>
  <si>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</si>
  <si>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</si>
  <si>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</si>
  <si>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</si>
  <si>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</si>
  <si>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</si>
  <si>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</si>
  <si>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</si>
  <si>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</si>
  <si>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</si>
  <si>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</si>
  <si>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</si>
  <si>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</si>
  <si>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</si>
  <si>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</si>
  <si>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</si>
  <si>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</si>
  <si>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</si>
  <si>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</si>
  <si>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</si>
  <si>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</si>
  <si>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</si>
  <si>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</si>
  <si>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</si>
  <si>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</si>
  <si>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</si>
  <si>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</si>
  <si>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</si>
  <si>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</si>
  <si>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</si>
  <si>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</si>
  <si>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</si>
  <si>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</si>
  <si>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</si>
  <si>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</si>
  <si>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</si>
  <si>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</si>
  <si>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</si>
  <si>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</si>
  <si>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</si>
  <si>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</si>
  <si>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</si>
  <si>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</si>
  <si>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</si>
  <si>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</si>
  <si>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</si>
  <si>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</si>
  <si>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</si>
  <si>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</si>
  <si>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</si>
  <si>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</si>
  <si>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</si>
  <si>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</si>
  <si>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</si>
  <si>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</si>
  <si>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</si>
  <si>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</si>
  <si>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</si>
  <si>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</si>
  <si>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</si>
  <si>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</si>
  <si>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</si>
  <si>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</si>
  <si>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</si>
  <si>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</si>
  <si>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</si>
  <si>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</si>
  <si>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</si>
  <si>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</si>
  <si>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</si>
  <si>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</si>
  <si>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</si>
  <si>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</si>
  <si>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</si>
  <si>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</si>
  <si>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</si>
  <si>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</si>
  <si>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</si>
  <si>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</si>
  <si>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</si>
  <si>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</si>
  <si>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</si>
  <si>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</si>
  <si>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</si>
  <si>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</si>
  <si>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</si>
  <si>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</si>
  <si>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</si>
  <si>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</si>
  <si>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</si>
  <si>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</si>
  <si>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</si>
  <si>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</si>
  <si>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</si>
  <si>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</si>
  <si>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</si>
  <si>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</si>
  <si>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</si>
  <si>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</si>
  <si>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</si>
  <si>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</si>
  <si>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</si>
  <si>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</si>
  <si>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</si>
  <si>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</si>
  <si>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</si>
  <si>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</si>
  <si>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</si>
  <si>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</si>
  <si>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</si>
  <si>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</si>
  <si>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</si>
  <si>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</si>
  <si>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</si>
  <si>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</si>
  <si>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</si>
  <si>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</si>
  <si>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</si>
  <si>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</si>
  <si>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</si>
  <si>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</si>
  <si>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</si>
  <si>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</si>
  <si>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</si>
  <si>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</si>
  <si>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</si>
  <si>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</si>
  <si>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</si>
  <si>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</si>
  <si>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</si>
  <si>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</si>
  <si>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</si>
  <si>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</si>
  <si>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</si>
  <si>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</si>
  <si>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</si>
  <si>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</si>
  <si>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</si>
  <si>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</si>
  <si>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</si>
  <si>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</si>
  <si>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</si>
  <si>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</si>
  <si>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</si>
  <si>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</si>
  <si>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</si>
  <si>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</si>
  <si>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</si>
  <si>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</si>
  <si>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</si>
  <si>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</si>
  <si>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</si>
  <si>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</si>
  <si>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</si>
  <si>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</si>
  <si>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</si>
  <si>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</si>
  <si>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</si>
  <si>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</si>
  <si>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</si>
  <si>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</si>
  <si>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</si>
  <si>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</si>
  <si>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</si>
  <si>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</si>
  <si>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</si>
  <si>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</si>
  <si>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</si>
  <si>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</si>
  <si>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</si>
  <si>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</si>
  <si>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</si>
  <si>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</si>
  <si>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</si>
  <si>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</si>
  <si>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</si>
  <si>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</si>
  <si>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</si>
  <si>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</si>
  <si>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</si>
  <si>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</si>
  <si>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</si>
  <si>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</si>
  <si>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</si>
  <si>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</si>
  <si>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</si>
  <si>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</si>
  <si>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</si>
  <si>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</si>
  <si>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</si>
  <si>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</si>
  <si>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</si>
  <si>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</si>
  <si>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</si>
  <si>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</si>
  <si>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</si>
  <si>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</si>
  <si>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</si>
  <si>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</si>
  <si>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</si>
  <si>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</si>
  <si>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</si>
  <si>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</si>
  <si>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</si>
  <si>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</si>
  <si>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</si>
  <si>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</si>
  <si>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</si>
  <si>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</si>
  <si>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</si>
  <si>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</si>
  <si>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</si>
  <si>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</si>
  <si>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</si>
  <si>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</si>
  <si>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</si>
  <si>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</si>
  <si>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</si>
  <si>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</si>
  <si>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</si>
  <si>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</si>
  <si>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</si>
  <si>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</si>
  <si>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</si>
  <si>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</si>
  <si>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</si>
  <si>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</si>
  <si>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</si>
  <si>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</si>
  <si>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</si>
  <si>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</si>
  <si>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</si>
  <si>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</si>
  <si>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</si>
  <si>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</si>
  <si>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</si>
  <si>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</si>
  <si>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</si>
  <si>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</si>
  <si>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</si>
  <si>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</si>
  <si>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</si>
  <si>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</si>
  <si>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</si>
  <si>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</si>
  <si>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</si>
  <si>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</si>
  <si>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</si>
  <si>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</si>
  <si>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</si>
  <si>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</si>
  <si>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</si>
  <si>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</si>
  <si>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</si>
  <si>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</si>
  <si>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</si>
  <si>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</si>
  <si>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</si>
  <si>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</si>
  <si>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</si>
  <si>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</si>
  <si>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</si>
  <si>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</si>
  <si>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</si>
  <si>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</si>
  <si>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</si>
  <si>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</si>
  <si>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</si>
  <si>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</si>
  <si>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</si>
  <si>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</si>
  <si>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</si>
  <si>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</si>
  <si>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</si>
  <si>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</si>
  <si>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</si>
  <si>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</si>
  <si>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</si>
  <si>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</si>
  <si>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</si>
  <si>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</si>
  <si>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</si>
  <si>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</si>
  <si>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</si>
  <si>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</si>
  <si>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</si>
  <si>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</si>
  <si>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</si>
  <si>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</si>
  <si>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</si>
  <si>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</si>
  <si>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</si>
  <si>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</si>
  <si>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</si>
  <si>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</si>
  <si>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</si>
  <si>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</si>
  <si>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</si>
  <si>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</si>
  <si>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</si>
  <si>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</si>
  <si>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</si>
  <si>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</si>
  <si>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</si>
  <si>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</si>
  <si>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</si>
  <si>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</si>
  <si>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</si>
  <si>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</si>
  <si>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</si>
  <si>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</si>
  <si>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</si>
  <si>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</si>
  <si>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</si>
  <si>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</si>
  <si>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</si>
  <si>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</si>
  <si>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</si>
  <si>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</si>
  <si>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</si>
  <si>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</si>
  <si>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</si>
  <si>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</si>
  <si>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</si>
  <si>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</si>
  <si>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</si>
  <si>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</si>
  <si>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</si>
  <si>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</si>
  <si>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</si>
  <si>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</si>
  <si>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</si>
  <si>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</si>
  <si>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</si>
  <si>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</si>
  <si>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</si>
  <si>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</si>
  <si>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</si>
  <si>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</si>
  <si>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</si>
  <si>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</si>
  <si>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</si>
  <si>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</si>
  <si>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</si>
  <si>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</si>
  <si>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</si>
  <si>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</si>
  <si>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</si>
  <si>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</si>
  <si>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</si>
  <si>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</si>
  <si>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</si>
  <si>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</si>
  <si>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</si>
  <si>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</si>
  <si>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</si>
  <si>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</si>
  <si>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</si>
  <si>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</si>
  <si>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</si>
  <si>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</si>
  <si>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</si>
  <si>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</si>
  <si>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</si>
  <si>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</si>
  <si>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</si>
  <si>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</si>
  <si>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</si>
  <si>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</si>
  <si>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</si>
  <si>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</si>
  <si>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</si>
  <si>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</si>
  <si>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</si>
  <si>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</si>
  <si>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</si>
  <si>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</si>
  <si>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</si>
  <si>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</si>
  <si>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</si>
  <si>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</si>
  <si>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</si>
  <si>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</si>
  <si>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</si>
  <si>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</si>
  <si>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</si>
  <si>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</si>
  <si>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</si>
  <si>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</si>
  <si>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</si>
  <si>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</si>
  <si>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</si>
  <si>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</si>
  <si>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</si>
  <si>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</si>
  <si>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</si>
  <si>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</si>
  <si>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</si>
  <si>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</si>
  <si>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</si>
  <si>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</si>
  <si>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</si>
  <si>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</si>
  <si>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</si>
  <si>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</si>
  <si>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</si>
  <si>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</si>
  <si>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</si>
  <si>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</si>
  <si>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</si>
  <si>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</si>
  <si>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</si>
  <si>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</si>
  <si>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</si>
  <si>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</si>
  <si>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</si>
  <si>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</si>
  <si>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</si>
  <si>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</si>
  <si>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</si>
  <si>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</si>
  <si>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</si>
  <si>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</si>
  <si>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</si>
  <si>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</si>
  <si>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</si>
  <si>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</si>
  <si>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</si>
  <si>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</si>
  <si>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</si>
  <si>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</si>
  <si>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</si>
  <si>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</si>
  <si>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</si>
  <si>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</si>
  <si>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</si>
  <si>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</si>
  <si>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</si>
  <si>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</si>
  <si>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</si>
  <si>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</si>
  <si>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</si>
  <si>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</si>
  <si>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</si>
  <si>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</si>
  <si>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</si>
  <si>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</si>
  <si>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</si>
  <si>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</si>
  <si>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</si>
  <si>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</si>
  <si>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</si>
  <si>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</si>
  <si>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</si>
  <si>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</si>
  <si>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</si>
  <si>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</si>
  <si>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</si>
  <si>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</si>
  <si>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</si>
  <si>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</si>
  <si>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</si>
  <si>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</si>
  <si>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</si>
  <si>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</si>
  <si>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</si>
  <si>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</si>
  <si>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</si>
  <si>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</si>
  <si>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</si>
  <si>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</si>
  <si>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</si>
  <si>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</si>
  <si>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</si>
  <si>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</si>
  <si>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</si>
  <si>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</si>
  <si>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</si>
  <si>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</si>
  <si>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</si>
  <si>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</si>
  <si>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</si>
  <si>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</si>
  <si>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</si>
  <si>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</si>
  <si>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</si>
  <si>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</si>
  <si>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</si>
  <si>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</si>
  <si>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</si>
  <si>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</si>
  <si>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</si>
  <si>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</si>
  <si>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</si>
  <si>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</si>
  <si>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</si>
  <si>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</si>
  <si>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</si>
  <si>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</si>
  <si>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</si>
  <si>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</si>
  <si>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</si>
  <si>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</si>
  <si>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</si>
  <si>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</si>
  <si>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</si>
  <si>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</si>
  <si>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</si>
  <si>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</si>
  <si>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</si>
  <si>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</si>
  <si>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</si>
  <si>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</si>
  <si>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</si>
  <si>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</si>
  <si>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</si>
  <si>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</si>
  <si>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</si>
  <si>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</si>
  <si>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</si>
  <si>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</si>
  <si>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</si>
  <si>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</si>
  <si>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</si>
  <si>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</si>
  <si>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</si>
  <si>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</si>
  <si>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</si>
  <si>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</si>
  <si>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</si>
  <si>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</si>
  <si>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</si>
  <si>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</si>
  <si>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</si>
  <si>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</si>
  <si>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</si>
  <si>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</si>
  <si>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</si>
  <si>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</si>
  <si>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</si>
  <si>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</si>
  <si>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</si>
  <si>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</si>
  <si>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</si>
  <si>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</si>
  <si>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</si>
  <si>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</si>
  <si>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</si>
  <si>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</si>
  <si>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</si>
  <si>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</si>
  <si>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</si>
  <si>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</si>
  <si>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</si>
  <si>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</si>
  <si>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</si>
  <si>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</si>
  <si>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</si>
  <si>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</si>
  <si>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</si>
  <si>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</si>
  <si>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</si>
  <si>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</si>
  <si>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</si>
  <si>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</si>
  <si>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</si>
  <si>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</si>
  <si>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</si>
  <si>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</si>
  <si>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</si>
  <si>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</si>
  <si>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</si>
  <si>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</si>
  <si>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</si>
  <si>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</si>
  <si>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</si>
  <si>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</si>
  <si>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</si>
  <si>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</si>
  <si>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</si>
  <si>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</si>
  <si>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</si>
  <si>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</si>
  <si>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</si>
  <si>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</si>
  <si>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</si>
  <si>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</si>
  <si>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</si>
  <si>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</si>
  <si>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</si>
  <si>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</si>
  <si>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</si>
  <si>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</si>
  <si>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</si>
  <si>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</si>
  <si>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</si>
  <si>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</si>
  <si>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</si>
  <si>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</si>
  <si>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</si>
  <si>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</si>
  <si>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</si>
  <si>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</si>
  <si>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</si>
  <si>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</si>
  <si>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</si>
  <si>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</si>
  <si>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</si>
  <si>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</si>
  <si>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</si>
  <si>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</si>
  <si>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</si>
  <si>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</si>
  <si>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</si>
  <si>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</si>
  <si>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</si>
  <si>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</si>
  <si>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</si>
  <si>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</si>
  <si>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</si>
  <si>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</si>
  <si>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</si>
  <si>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</si>
  <si>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</si>
  <si>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</si>
  <si>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</si>
  <si>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</si>
  <si>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</si>
  <si>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</si>
  <si>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</si>
  <si>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</si>
  <si>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</si>
  <si>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</si>
  <si>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</si>
  <si>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</si>
  <si>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</si>
  <si>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</si>
  <si>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</si>
  <si>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</si>
  <si>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</si>
  <si>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</si>
  <si>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</si>
  <si>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</si>
  <si>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</si>
  <si>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</si>
  <si>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</si>
  <si>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</si>
  <si>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</si>
  <si>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</si>
  <si>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</si>
  <si>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</si>
  <si>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</si>
  <si>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</si>
  <si>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</si>
  <si>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</si>
  <si>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</si>
  <si>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</si>
  <si>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</si>
  <si>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</si>
  <si>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</si>
  <si>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</si>
  <si>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</si>
  <si>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</si>
  <si>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</si>
  <si>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</si>
  <si>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</si>
  <si>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</si>
  <si>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</si>
  <si>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</si>
  <si>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</si>
  <si>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</si>
  <si>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</si>
  <si>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</si>
  <si>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</si>
  <si>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</si>
  <si>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</si>
  <si>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</si>
  <si>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</si>
  <si>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</si>
  <si>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</si>
  <si>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</si>
  <si>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</si>
  <si>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</si>
  <si>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</si>
  <si>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</si>
  <si>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</si>
  <si>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</si>
  <si>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</si>
  <si>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</si>
  <si>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</si>
  <si>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</si>
  <si>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</si>
  <si>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</si>
  <si>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</si>
  <si>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</si>
  <si>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</si>
  <si>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</si>
  <si>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</si>
  <si>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</si>
  <si>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</si>
  <si>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</si>
  <si>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</si>
  <si>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</si>
  <si>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</si>
  <si>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</si>
  <si>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</si>
  <si>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</si>
  <si>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</si>
  <si>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</si>
  <si>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</si>
  <si>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</si>
  <si>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</si>
  <si>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</si>
  <si>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</si>
  <si>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</si>
  <si>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</si>
  <si>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</si>
  <si>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</si>
  <si>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</si>
  <si>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</si>
  <si>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</si>
  <si>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</si>
  <si>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</si>
  <si>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</si>
  <si>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</si>
  <si>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</si>
  <si>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</si>
  <si>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</si>
  <si>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</si>
  <si>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</si>
  <si>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</si>
  <si>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</si>
  <si>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</si>
  <si>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</si>
  <si>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</si>
  <si>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</si>
  <si>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</si>
  <si>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</si>
  <si>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</si>
  <si>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</si>
  <si>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</si>
  <si>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</si>
  <si>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</si>
  <si>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</si>
  <si>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</si>
  <si>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</si>
  <si>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</si>
  <si>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</si>
  <si>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</si>
  <si>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</si>
  <si>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</si>
  <si>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</si>
  <si>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</si>
  <si>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</si>
  <si>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</si>
  <si>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</si>
  <si>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</si>
  <si>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</si>
  <si>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</si>
  <si>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</si>
  <si>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</si>
  <si>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</si>
  <si>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</si>
  <si>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</si>
  <si>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</si>
  <si>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</si>
  <si>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</si>
  <si>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</si>
  <si>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</si>
  <si>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</si>
  <si>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</si>
  <si>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</si>
  <si>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</si>
  <si>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</si>
  <si>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</si>
  <si>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</si>
  <si>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</si>
  <si>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</si>
  <si>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</si>
  <si>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</si>
  <si>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</si>
  <si>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</si>
  <si>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</si>
  <si>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</si>
  <si>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</si>
  <si>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</si>
  <si>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</si>
  <si>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</si>
  <si>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</si>
  <si>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</si>
  <si>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</si>
  <si>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</si>
  <si>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</si>
  <si>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</si>
  <si>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</si>
  <si>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</si>
  <si>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</si>
  <si>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</si>
  <si>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</si>
  <si>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</si>
  <si>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</si>
  <si>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</si>
  <si>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</si>
  <si>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</si>
  <si>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</si>
  <si>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</si>
  <si>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</si>
  <si>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</si>
  <si>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</si>
  <si>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</si>
  <si>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</si>
  <si>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</si>
  <si>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</si>
  <si>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</si>
  <si>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</si>
  <si>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</si>
  <si>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</si>
  <si>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</si>
  <si>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</si>
  <si>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</si>
  <si>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</si>
  <si>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</si>
  <si>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</si>
  <si>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</si>
  <si>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</si>
  <si>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</si>
  <si>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</si>
  <si>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</si>
  <si>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</si>
  <si>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</si>
  <si>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</si>
  <si>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</si>
  <si>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</si>
  <si>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</si>
  <si>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</si>
  <si>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</si>
  <si>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</si>
  <si>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</si>
  <si>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</si>
  <si>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</si>
  <si>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</si>
  <si>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</si>
  <si>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</si>
  <si>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</si>
  <si>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</si>
  <si>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</si>
  <si>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</si>
  <si>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</si>
  <si>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</si>
  <si>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</si>
  <si>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</si>
  <si>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</si>
  <si>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</si>
  <si>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</si>
  <si>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</si>
  <si>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</si>
  <si>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</si>
  <si>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</si>
  <si>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</si>
  <si>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</si>
  <si>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</si>
  <si>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</si>
  <si>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</si>
  <si>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</si>
  <si>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</si>
  <si>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</si>
  <si>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</si>
  <si>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</si>
  <si>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</si>
  <si>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</si>
  <si>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</si>
  <si>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</si>
  <si>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</si>
  <si>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</si>
  <si>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</si>
  <si>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</si>
  <si>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</si>
  <si>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</si>
  <si>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</si>
  <si>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</si>
  <si>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</si>
  <si>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</si>
  <si>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</si>
  <si>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</si>
  <si>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</si>
  <si>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</si>
  <si>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</si>
  <si>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</si>
  <si>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</si>
  <si>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</si>
  <si>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</si>
  <si>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</si>
  <si>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</si>
  <si>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</si>
  <si>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</si>
  <si>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</si>
  <si>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</si>
  <si>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</si>
  <si>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</si>
  <si>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</si>
  <si>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</si>
  <si>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</si>
  <si>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</si>
  <si>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</si>
  <si>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</si>
  <si>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</si>
  <si>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</si>
  <si>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</si>
  <si>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</si>
  <si>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</si>
  <si>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</si>
  <si>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</si>
  <si>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</si>
  <si>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</si>
  <si>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</si>
  <si>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</si>
  <si>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</si>
  <si>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</si>
  <si>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</si>
  <si>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</si>
  <si>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</si>
  <si>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</si>
  <si>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</si>
  <si>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</si>
  <si>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</si>
  <si>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</si>
  <si>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</si>
  <si>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</si>
  <si>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</si>
  <si>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</si>
  <si>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</si>
  <si>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</si>
  <si>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</si>
  <si>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</si>
  <si>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</si>
  <si>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</si>
  <si>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</si>
  <si>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</si>
  <si>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</si>
  <si>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</si>
  <si>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</si>
  <si>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</si>
  <si>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</si>
  <si>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</si>
  <si>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</si>
  <si>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</si>
  <si>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</si>
  <si>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</si>
  <si>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</si>
  <si>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</si>
  <si>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</si>
  <si>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</si>
  <si>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</si>
  <si>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</si>
  <si>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</si>
  <si>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</si>
  <si>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</si>
  <si>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</si>
  <si>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</si>
  <si>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</si>
  <si>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</si>
  <si>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</si>
  <si>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</si>
  <si>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</si>
  <si>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</si>
  <si>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</si>
  <si>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</si>
  <si>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</si>
  <si>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</si>
  <si>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</si>
  <si>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</si>
  <si>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</si>
  <si>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</si>
  <si>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</si>
  <si>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</si>
  <si>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</si>
  <si>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</si>
  <si>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</si>
  <si>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</si>
  <si>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</si>
  <si>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</si>
  <si>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</si>
  <si>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</si>
  <si>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</si>
  <si>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</si>
  <si>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</si>
  <si>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</si>
  <si>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</si>
  <si>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</si>
  <si>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</si>
  <si>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</si>
  <si>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</si>
  <si>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</si>
  <si>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</si>
  <si>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</si>
  <si>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</si>
  <si>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</si>
  <si>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</si>
  <si>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</si>
  <si>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</si>
  <si>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</si>
  <si>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</si>
  <si>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</si>
  <si>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</si>
  <si>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</si>
  <si>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</si>
  <si>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</si>
  <si>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</si>
  <si>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</si>
  <si>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</si>
  <si>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</si>
  <si>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</si>
  <si>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</si>
  <si>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</si>
  <si>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</si>
  <si>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</si>
  <si>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</si>
  <si>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</si>
  <si>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</si>
  <si>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</si>
  <si>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</si>
  <si>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</si>
  <si>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</si>
  <si>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</si>
  <si>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</si>
  <si>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</si>
  <si>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</si>
  <si>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</si>
  <si>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</si>
  <si>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</si>
  <si>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</si>
  <si>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</si>
  <si>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</si>
  <si>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</si>
  <si>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</si>
  <si>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</si>
  <si>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</si>
  <si>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</si>
  <si>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</si>
  <si>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</si>
  <si>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</si>
  <si>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</si>
  <si>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</si>
  <si>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</si>
  <si>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</si>
  <si>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</si>
  <si>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</si>
  <si>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</si>
  <si>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</si>
  <si>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</si>
  <si>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</si>
  <si>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</si>
  <si>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</si>
  <si>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</si>
  <si>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</si>
  <si>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</si>
  <si>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</si>
  <si>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</si>
  <si>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</si>
  <si>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</si>
  <si>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</si>
  <si>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</si>
  <si>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</si>
  <si>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</si>
  <si>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</si>
  <si>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</si>
  <si>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</si>
  <si>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</si>
  <si>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</si>
  <si>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</si>
  <si>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</si>
  <si>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</si>
  <si>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</si>
  <si>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</si>
  <si>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</si>
  <si>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</si>
  <si>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</si>
  <si>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</si>
  <si>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</si>
  <si>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</si>
  <si>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</si>
  <si>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</si>
  <si>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</si>
  <si>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</si>
  <si>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</si>
  <si>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</si>
  <si>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</si>
  <si>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</si>
  <si>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</si>
  <si>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</si>
  <si>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</si>
  <si>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</si>
  <si>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</si>
  <si>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</si>
  <si>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</si>
  <si>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</si>
  <si>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</si>
  <si>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</si>
  <si>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</si>
  <si>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</si>
  <si>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</si>
  <si>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</si>
  <si>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</si>
  <si>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</si>
  <si>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</si>
  <si>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</si>
  <si>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</si>
  <si>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</si>
  <si>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</si>
  <si>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</si>
  <si>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</si>
  <si>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</si>
  <si>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</si>
  <si>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</si>
  <si>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</si>
  <si>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</si>
  <si>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</si>
  <si>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</si>
  <si>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</si>
  <si>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</si>
  <si>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</si>
  <si>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</si>
  <si>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</si>
  <si>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</si>
  <si>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</si>
  <si>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</si>
  <si>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</si>
  <si>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</si>
  <si>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</si>
  <si>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</si>
  <si>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</si>
  <si>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</si>
  <si>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</si>
  <si>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</si>
  <si>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</si>
  <si>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</si>
  <si>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</si>
  <si>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</si>
  <si>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</si>
  <si>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</si>
  <si>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</si>
  <si>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</si>
  <si>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</si>
  <si>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</si>
  <si>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</si>
  <si>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</si>
  <si>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</si>
  <si>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</si>
  <si>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</si>
  <si>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</si>
  <si>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</si>
  <si>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</si>
  <si>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</si>
  <si>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</si>
  <si>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</si>
  <si>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</si>
  <si>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</si>
  <si>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</si>
  <si>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</si>
  <si>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</si>
  <si>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</si>
  <si>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</si>
  <si>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</si>
  <si>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</si>
  <si>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</si>
  <si>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</si>
  <si>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</si>
  <si>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</si>
  <si>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</si>
  <si>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</si>
  <si>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</si>
  <si>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</si>
  <si>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</si>
  <si>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</si>
  <si>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</si>
  <si>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</si>
  <si>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</si>
  <si>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</si>
  <si>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</si>
  <si>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</si>
  <si>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</si>
  <si>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</si>
  <si>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</si>
  <si>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</si>
  <si>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</si>
  <si>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</si>
  <si>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</si>
  <si>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</si>
  <si>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</si>
  <si>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</si>
  <si>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</si>
  <si>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</si>
  <si>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</si>
  <si>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</si>
  <si>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</si>
  <si>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</si>
  <si>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</si>
  <si>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</si>
  <si>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</si>
  <si>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</si>
  <si>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</si>
  <si>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</si>
  <si>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</si>
  <si>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</si>
  <si>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</si>
  <si>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</si>
  <si>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</si>
  <si>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</si>
  <si>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</si>
  <si>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</si>
  <si>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</si>
  <si>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</si>
  <si>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</si>
  <si>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</si>
  <si>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</si>
  <si>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</si>
  <si>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</si>
  <si>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</si>
  <si>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</si>
  <si>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</si>
  <si>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</si>
  <si>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</si>
  <si>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</si>
  <si>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</si>
  <si>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</si>
  <si>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</si>
  <si>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</si>
  <si>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</si>
  <si>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</si>
  <si>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</si>
  <si>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</si>
  <si>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</si>
  <si>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</si>
  <si>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</si>
  <si>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</si>
  <si>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</si>
  <si>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</si>
  <si>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</si>
  <si>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</si>
  <si>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</si>
  <si>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</si>
  <si>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</si>
  <si>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</si>
  <si>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</si>
  <si>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</si>
  <si>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</si>
  <si>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</si>
  <si>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</si>
  <si>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</si>
  <si>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</si>
  <si>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</si>
  <si>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</si>
  <si>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</si>
  <si>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</si>
  <si>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</si>
  <si>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</si>
  <si>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</si>
  <si>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</si>
  <si>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</si>
  <si>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</si>
  <si>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</si>
  <si>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</si>
  <si>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</si>
  <si>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</si>
  <si>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</si>
  <si>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</si>
  <si>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</si>
  <si>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</si>
  <si>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</si>
  <si>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</si>
  <si>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</si>
  <si>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</si>
  <si>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</si>
  <si>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</si>
  <si>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</si>
  <si>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</si>
  <si>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</si>
  <si>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</si>
  <si>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</si>
  <si>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</si>
  <si>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</si>
  <si>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</si>
  <si>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</si>
  <si>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</si>
  <si>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</si>
  <si>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</si>
  <si>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</si>
  <si>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</si>
  <si>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</si>
  <si>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</si>
  <si>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</si>
  <si>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</si>
  <si>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</si>
  <si>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</si>
  <si>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</si>
  <si>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</si>
  <si>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</si>
  <si>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</si>
  <si>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</si>
  <si>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</si>
  <si>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</si>
  <si>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</si>
  <si>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</si>
  <si>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</si>
  <si>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</si>
  <si>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</si>
  <si>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</si>
  <si>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</si>
  <si>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</si>
  <si>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</si>
  <si>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</si>
  <si>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</si>
  <si>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</si>
  <si>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</si>
  <si>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</si>
  <si>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</si>
  <si>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</si>
  <si>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</si>
  <si>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</si>
  <si>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</si>
  <si>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</si>
  <si>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</si>
  <si>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</si>
  <si>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</si>
  <si>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</si>
  <si>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</si>
  <si>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</si>
  <si>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</si>
  <si>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</si>
  <si>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</si>
  <si>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</si>
  <si>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</si>
  <si>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</si>
  <si>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</si>
  <si>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</si>
  <si>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</si>
  <si>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</si>
  <si>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</si>
  <si>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</si>
  <si>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</si>
  <si>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</si>
  <si>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</si>
  <si>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</si>
  <si>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</si>
  <si>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</si>
  <si>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</si>
  <si>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</si>
  <si>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</si>
  <si>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</si>
  <si>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</si>
  <si>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</si>
  <si>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</si>
  <si>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</si>
  <si>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</si>
  <si>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</si>
  <si>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</si>
  <si>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</si>
  <si>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</si>
  <si>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</si>
  <si>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</si>
  <si>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</si>
  <si>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</si>
  <si>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</si>
  <si>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</si>
  <si>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</si>
  <si>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</si>
  <si>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</si>
  <si>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</si>
  <si>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</si>
  <si>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</si>
  <si>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</si>
  <si>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</si>
  <si>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</si>
  <si>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</si>
  <si>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</si>
  <si>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</si>
  <si>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</si>
  <si>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</si>
  <si>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</si>
  <si>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</si>
  <si>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</si>
  <si>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</si>
  <si>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</si>
  <si>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</si>
  <si>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</si>
  <si>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</si>
  <si>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</si>
  <si>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</si>
  <si>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</si>
  <si>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</si>
  <si>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</si>
  <si>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</si>
  <si>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</si>
  <si>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</si>
  <si>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</si>
  <si>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</si>
  <si>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</si>
  <si>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</si>
  <si>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</si>
  <si>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</si>
  <si>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</si>
  <si>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</si>
  <si>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</si>
  <si>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</si>
  <si>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</si>
  <si>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</si>
  <si>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</si>
  <si>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</si>
  <si>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</si>
  <si>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</si>
  <si>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</si>
  <si>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</si>
  <si>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</si>
  <si>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</si>
  <si>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</si>
  <si>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</si>
  <si>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</si>
  <si>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</si>
  <si>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</si>
  <si>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</si>
  <si>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</si>
  <si>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</si>
  <si>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</si>
  <si>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</si>
  <si>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</si>
  <si>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</si>
  <si>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</si>
  <si>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</si>
  <si>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</si>
  <si>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</si>
  <si>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</si>
  <si>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</si>
  <si>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</si>
  <si>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</si>
  <si>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</si>
  <si>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</si>
  <si>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</si>
  <si>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</si>
  <si>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</si>
  <si>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</si>
  <si>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</si>
  <si>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</si>
  <si>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</si>
  <si>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</si>
  <si>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</si>
  <si>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</si>
  <si>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</si>
  <si>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</si>
  <si>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</si>
  <si>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</si>
  <si>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</si>
  <si>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</si>
  <si>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</si>
  <si>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</si>
  <si>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</si>
  <si>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</si>
  <si>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</si>
  <si>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</si>
  <si>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</si>
  <si>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</si>
  <si>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</si>
  <si>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</si>
  <si>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</si>
  <si>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</si>
  <si>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</si>
  <si>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</si>
  <si>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</si>
  <si>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</si>
  <si>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</si>
  <si>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</si>
  <si>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</si>
  <si>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</si>
  <si>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</si>
  <si>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</si>
  <si>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</si>
  <si>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</si>
  <si>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</si>
  <si>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</si>
  <si>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</si>
  <si>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</si>
  <si>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</si>
  <si>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</si>
  <si>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</si>
  <si>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</si>
  <si>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</si>
  <si>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</si>
  <si>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</si>
  <si>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</si>
  <si>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</si>
  <si>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</si>
  <si>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</si>
  <si>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</si>
  <si>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</si>
  <si>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</si>
  <si>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</si>
  <si>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</si>
  <si>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</si>
  <si>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</si>
  <si>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</si>
  <si>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</si>
  <si>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</si>
  <si>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</si>
  <si>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</si>
  <si>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</si>
  <si>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</si>
  <si>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</si>
  <si>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</si>
  <si>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</si>
  <si>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</si>
  <si>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</si>
  <si>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</si>
  <si>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</si>
  <si>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</si>
  <si>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</si>
  <si>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</si>
  <si>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</si>
  <si>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</si>
  <si>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</si>
  <si>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</si>
  <si>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</si>
  <si>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</si>
  <si>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</si>
  <si>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</si>
  <si>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</si>
  <si>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</si>
  <si>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</si>
  <si>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</si>
  <si>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</si>
  <si>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</si>
  <si>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</si>
  <si>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</si>
  <si>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</si>
  <si>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</si>
  <si>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</si>
  <si>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</si>
  <si>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</si>
  <si>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</si>
  <si>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</si>
  <si>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</si>
  <si>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</si>
  <si>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</si>
  <si>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</si>
  <si>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</si>
  <si>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</si>
  <si>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</si>
  <si>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</si>
  <si>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</si>
  <si>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</si>
  <si>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</si>
  <si>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</si>
  <si>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</si>
  <si>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</si>
  <si>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</si>
  <si>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</si>
  <si>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</si>
  <si>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</si>
  <si>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</si>
  <si>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</si>
  <si>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</si>
  <si>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</si>
  <si>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</si>
  <si>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</si>
  <si>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</si>
  <si>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</si>
  <si>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</si>
  <si>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</si>
  <si>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</si>
  <si>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</si>
  <si>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</si>
  <si>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</si>
  <si>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</si>
  <si>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</si>
  <si>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</si>
  <si>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</si>
  <si>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</si>
  <si>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</si>
  <si>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</si>
  <si>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</si>
  <si>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</si>
  <si>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</si>
  <si>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</si>
  <si>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</si>
  <si>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</si>
  <si>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</si>
  <si>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</si>
  <si>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</si>
  <si>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</si>
  <si>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</si>
  <si>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</si>
  <si>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</si>
  <si>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</si>
  <si>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</si>
  <si>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</si>
  <si>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</si>
  <si>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</si>
  <si>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</si>
  <si>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</si>
  <si>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</si>
  <si>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</si>
  <si>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</si>
  <si>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</si>
  <si>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</si>
  <si>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</si>
  <si>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</si>
  <si>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</si>
  <si>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</si>
  <si>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</si>
  <si>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</si>
  <si>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</si>
  <si>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</si>
  <si>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</si>
  <si>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</si>
  <si>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</si>
  <si>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</si>
  <si>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</si>
  <si>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</si>
  <si>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</si>
  <si>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</si>
  <si>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</si>
  <si>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</si>
  <si>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</si>
  <si>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</si>
  <si>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</si>
  <si>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</si>
  <si>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</si>
  <si>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</si>
  <si>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</si>
  <si>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</si>
  <si>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</si>
  <si>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</si>
  <si>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</si>
  <si>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</si>
  <si>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</si>
  <si>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</si>
  <si>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</si>
  <si>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</si>
  <si>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</si>
  <si>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</si>
  <si>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</si>
  <si>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</si>
  <si>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</si>
  <si>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</si>
  <si>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</si>
  <si>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</si>
  <si>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</si>
  <si>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</si>
  <si>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</si>
  <si>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</si>
  <si>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</si>
  <si>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</si>
  <si>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</si>
  <si>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</si>
  <si>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</si>
  <si>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</si>
  <si>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</si>
  <si>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</si>
  <si>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</si>
  <si>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</si>
  <si>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</si>
  <si>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</si>
  <si>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</si>
  <si>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</si>
  <si>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</si>
  <si>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</si>
  <si>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</si>
  <si>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</si>
  <si>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</si>
  <si>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</si>
  <si>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</si>
  <si>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</si>
  <si>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</si>
  <si>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</si>
  <si>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</si>
  <si>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</si>
  <si>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</si>
  <si>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</si>
  <si>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</si>
  <si>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</si>
  <si>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</si>
  <si>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</si>
  <si>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</si>
  <si>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</si>
  <si>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</si>
  <si>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</si>
  <si>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</si>
  <si>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</si>
  <si>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</si>
  <si>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</si>
  <si>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</si>
  <si>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</si>
  <si>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</si>
  <si>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</si>
  <si>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</si>
  <si>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</si>
  <si>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</si>
  <si>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</si>
  <si>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</si>
  <si>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</si>
  <si>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</si>
  <si>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</si>
  <si>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</si>
  <si>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</si>
  <si>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</si>
  <si>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</si>
  <si>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</si>
  <si>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</si>
  <si>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</si>
  <si>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</si>
  <si>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</si>
  <si>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</si>
  <si>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</si>
  <si>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</si>
  <si>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</si>
  <si>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</si>
  <si>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</si>
  <si>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</si>
  <si>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</si>
  <si>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</si>
  <si>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</si>
  <si>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</si>
  <si>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</si>
  <si>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</si>
  <si>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</si>
  <si>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</si>
  <si>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</si>
  <si>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</si>
  <si>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</si>
  <si>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</si>
  <si>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</si>
  <si>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</si>
  <si>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</si>
  <si>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</si>
  <si>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</si>
  <si>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</si>
  <si>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</si>
  <si>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</si>
  <si>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</si>
  <si>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</si>
  <si>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</si>
  <si>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</si>
  <si>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</si>
  <si>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</si>
  <si>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</si>
  <si>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</si>
  <si>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</si>
  <si>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</si>
  <si>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</si>
  <si>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</si>
  <si>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</si>
  <si>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</si>
  <si>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</si>
  <si>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</si>
  <si>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</si>
  <si>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</si>
  <si>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</si>
  <si>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</si>
  <si>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</si>
  <si>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</si>
  <si>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</si>
  <si>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</si>
  <si>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</si>
  <si>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</si>
  <si>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</si>
  <si>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</si>
  <si>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</si>
  <si>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</si>
  <si>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</si>
  <si>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</si>
  <si>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</si>
  <si>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</si>
  <si>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</si>
  <si>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</si>
  <si>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</si>
  <si>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</si>
  <si>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</si>
  <si>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</si>
  <si>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</si>
  <si>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</si>
  <si>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</si>
  <si>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</si>
  <si>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</si>
  <si>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</si>
  <si>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</si>
  <si>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</si>
  <si>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</si>
  <si>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</si>
  <si>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</si>
  <si>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</si>
  <si>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</si>
  <si>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</si>
  <si>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</si>
  <si>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</si>
  <si>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</si>
  <si>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</si>
  <si>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</si>
  <si>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</si>
  <si>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</si>
  <si>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</si>
  <si>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</si>
  <si>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</si>
  <si>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</si>
  <si>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</si>
  <si>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</si>
  <si>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</si>
  <si>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</si>
  <si>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</si>
  <si>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</si>
  <si>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</si>
  <si>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</si>
  <si>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</si>
  <si>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</si>
  <si>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</si>
  <si>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</si>
  <si>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</si>
  <si>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</si>
  <si>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</si>
  <si>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</si>
  <si>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</si>
  <si>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</si>
  <si>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</si>
  <si>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</si>
  <si>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</si>
  <si>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</si>
  <si>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</si>
  <si>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</si>
  <si>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</si>
  <si>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</si>
  <si>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</si>
  <si>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</si>
  <si>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</si>
  <si>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</si>
  <si>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</si>
  <si>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</si>
  <si>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</si>
  <si>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</si>
  <si>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</si>
  <si>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</si>
  <si>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</si>
  <si>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</si>
  <si>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</si>
  <si>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</si>
  <si>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</si>
  <si>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</si>
  <si>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</si>
  <si>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</si>
  <si>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</si>
  <si>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</si>
  <si>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</si>
  <si>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</si>
  <si>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</si>
  <si>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</si>
  <si>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</si>
  <si>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</si>
  <si>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</si>
  <si>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</si>
  <si>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</si>
  <si>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</si>
  <si>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</si>
  <si>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</si>
  <si>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</si>
  <si>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</si>
  <si>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</si>
  <si>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</si>
  <si>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</si>
  <si>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</si>
  <si>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</si>
  <si>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</si>
  <si>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</si>
  <si>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</si>
  <si>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</si>
  <si>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</si>
  <si>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</si>
  <si>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</si>
  <si>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</si>
  <si>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</si>
  <si>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</si>
  <si>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</si>
  <si>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</si>
  <si>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</si>
  <si>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</si>
  <si>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</si>
  <si>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</si>
  <si>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</si>
  <si>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</si>
  <si>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</si>
  <si>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</si>
  <si>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</si>
  <si>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</si>
  <si>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</si>
  <si>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</si>
  <si>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</si>
  <si>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</si>
  <si>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</si>
  <si>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</si>
  <si>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</si>
  <si>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</si>
  <si>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</si>
  <si>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</si>
  <si>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</si>
  <si>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</si>
  <si>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</si>
  <si>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</si>
  <si>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</si>
  <si>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</si>
  <si>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</si>
  <si>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</si>
  <si>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</si>
  <si>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</si>
  <si>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</si>
  <si>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</si>
  <si>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</si>
  <si>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</si>
  <si>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</si>
  <si>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</si>
  <si>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</si>
  <si>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</si>
  <si>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</si>
  <si>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</si>
  <si>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</si>
  <si>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</si>
  <si>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</si>
  <si>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</si>
  <si>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</si>
  <si>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</si>
  <si>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</si>
  <si>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</si>
  <si>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</si>
  <si>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</si>
  <si>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</si>
  <si>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</si>
  <si>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</si>
  <si>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</si>
  <si>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</si>
  <si>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</si>
  <si>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</si>
  <si>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</si>
  <si>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</si>
  <si>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</si>
  <si>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</si>
  <si>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</si>
  <si>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</si>
  <si>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</si>
  <si>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</si>
  <si>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</si>
  <si>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</si>
  <si>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</si>
  <si>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</si>
  <si>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</si>
  <si>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</si>
  <si>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</si>
  <si>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</si>
  <si>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</si>
  <si>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</si>
  <si>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</si>
  <si>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</si>
  <si>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</si>
  <si>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</si>
  <si>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</si>
  <si>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</si>
  <si>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</si>
  <si>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</si>
  <si>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</si>
  <si>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</si>
  <si>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</si>
  <si>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</si>
  <si>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</si>
  <si>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</si>
  <si>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</si>
  <si>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</si>
  <si>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</si>
  <si>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</si>
  <si>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</si>
  <si>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</si>
  <si>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</si>
  <si>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</si>
  <si>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</si>
  <si>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</si>
  <si>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</si>
  <si>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</si>
  <si>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</si>
  <si>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</si>
  <si>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</si>
  <si>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</si>
  <si>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</si>
  <si>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</si>
  <si>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</si>
  <si>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</si>
  <si>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</si>
  <si>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</si>
  <si>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</si>
  <si>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</si>
  <si>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</si>
  <si>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</si>
  <si>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</si>
  <si>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</si>
  <si>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</si>
  <si>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</si>
  <si>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</si>
  <si>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</si>
  <si>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</si>
  <si>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</si>
  <si>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</si>
  <si>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</si>
  <si>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</si>
  <si>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</si>
  <si>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</si>
  <si>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</si>
  <si>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</si>
  <si>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</si>
  <si>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</si>
  <si>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</si>
  <si>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</si>
  <si>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</si>
  <si>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</si>
  <si>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</si>
  <si>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</si>
  <si>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</si>
  <si>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</si>
  <si>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</si>
  <si>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</si>
  <si>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</si>
  <si>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</si>
  <si>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</si>
  <si>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</si>
  <si>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</si>
  <si>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</si>
  <si>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</si>
  <si>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</si>
  <si>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</si>
  <si>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</si>
  <si>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</si>
  <si>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</si>
  <si>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</si>
  <si>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</si>
  <si>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</si>
  <si>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</si>
  <si>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</si>
  <si>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</si>
  <si>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</si>
  <si>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</si>
  <si>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</si>
  <si>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</si>
  <si>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</si>
  <si>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</si>
  <si>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</si>
  <si>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</si>
  <si>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</si>
  <si>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</si>
  <si>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</si>
  <si>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</si>
  <si>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</si>
  <si>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</si>
  <si>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</si>
  <si>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</si>
  <si>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</si>
  <si>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</si>
  <si>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</si>
  <si>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</si>
  <si>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</si>
  <si>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</si>
  <si>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</si>
  <si>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</si>
  <si>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</si>
  <si>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</si>
  <si>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</si>
  <si>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</si>
  <si>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</si>
  <si>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</si>
  <si>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</si>
  <si>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</si>
  <si>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</si>
  <si>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</si>
  <si>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</si>
  <si>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</si>
  <si>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</si>
  <si>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</si>
  <si>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</si>
  <si>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</si>
  <si>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</si>
  <si>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</si>
  <si>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</si>
  <si>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</si>
  <si>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</si>
  <si>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</si>
  <si>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</si>
  <si>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</si>
  <si>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</si>
  <si>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</si>
  <si>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</si>
  <si>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</si>
  <si>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</si>
  <si>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</si>
  <si>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</si>
  <si>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</si>
  <si>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</si>
  <si>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</si>
  <si>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</si>
  <si>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</si>
  <si>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</si>
  <si>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</si>
  <si>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</si>
  <si>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</si>
  <si>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</si>
  <si>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</si>
  <si>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</si>
  <si>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</si>
  <si>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</si>
  <si>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</si>
  <si>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</si>
  <si>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</si>
  <si>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</si>
  <si>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</si>
  <si>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</si>
  <si>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</si>
  <si>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</si>
  <si>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</si>
  <si>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</si>
  <si>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</si>
  <si>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</si>
  <si>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</si>
  <si>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</si>
  <si>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</si>
  <si>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</si>
  <si>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</si>
  <si>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</si>
  <si>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</si>
  <si>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</si>
  <si>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</si>
  <si>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</si>
  <si>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</si>
  <si>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</si>
  <si>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</si>
  <si>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</si>
  <si>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</si>
  <si>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</si>
  <si>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</si>
  <si>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</si>
  <si>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</si>
  <si>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</si>
  <si>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</si>
  <si>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</si>
  <si>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</si>
  <si>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</si>
  <si>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</si>
  <si>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</si>
  <si>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</si>
  <si>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</si>
  <si>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</si>
  <si>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</si>
  <si>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</si>
  <si>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</si>
  <si>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</si>
  <si>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</si>
  <si>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</si>
  <si>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</si>
  <si>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</si>
  <si>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</si>
  <si>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</si>
  <si>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</si>
  <si>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</si>
  <si>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</si>
  <si>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</si>
  <si>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</si>
  <si>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</si>
  <si>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</si>
  <si>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</si>
  <si>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</si>
  <si>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</si>
  <si>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</si>
  <si>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</si>
  <si>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</si>
  <si>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</si>
  <si>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</si>
  <si>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</si>
  <si>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</si>
  <si>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</si>
  <si>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</si>
  <si>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</si>
  <si>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</si>
  <si>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</si>
  <si>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</si>
  <si>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</si>
  <si>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</si>
  <si>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</si>
  <si>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</si>
  <si>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</si>
  <si>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</si>
  <si>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</si>
  <si>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</si>
  <si>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</si>
  <si>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</si>
  <si>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</si>
  <si>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</si>
  <si>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</si>
  <si>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</si>
  <si>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</si>
  <si>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</si>
  <si>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</si>
  <si>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</si>
  <si>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</si>
  <si>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</si>
  <si>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</si>
  <si>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</si>
  <si>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</si>
  <si>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</si>
  <si>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</si>
  <si>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</si>
  <si>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</si>
  <si>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</si>
  <si>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</si>
  <si>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</si>
  <si>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</si>
  <si>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</si>
  <si>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</si>
  <si>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</si>
  <si>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</si>
  <si>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</si>
  <si>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</si>
  <si>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</si>
  <si>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</si>
  <si>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</si>
  <si>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</si>
  <si>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</si>
  <si>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</si>
  <si>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</si>
  <si>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</si>
  <si>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</si>
  <si>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</si>
  <si>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</si>
  <si>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</si>
  <si>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</si>
  <si>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</si>
  <si>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</si>
  <si>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</si>
  <si>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</si>
  <si>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</si>
  <si>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</si>
  <si>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</si>
  <si>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</si>
  <si>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</si>
  <si>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</si>
  <si>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</si>
  <si>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</si>
  <si>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</si>
  <si>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</si>
  <si>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</si>
  <si>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</si>
  <si>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</si>
  <si>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</si>
  <si>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</si>
  <si>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</si>
  <si>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</si>
  <si>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</si>
  <si>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</si>
  <si>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</si>
  <si>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</si>
  <si>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</si>
  <si>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</si>
  <si>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</si>
  <si>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</si>
  <si>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</si>
  <si>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</si>
  <si>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شنبه 24/9 حدود 1.200.000 سهام بفروش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</si>
  <si>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</si>
  <si>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</si>
  <si>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</si>
  <si>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</si>
  <si>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</si>
  <si>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طلب از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</si>
  <si>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</si>
  <si>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</si>
  <si>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</si>
  <si>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</si>
  <si>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</si>
  <si>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</si>
  <si>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نقد دست مریم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</si>
  <si>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</si>
  <si>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</si>
  <si>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</si>
  <si>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</si>
  <si>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</si>
  <si>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</si>
  <si>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</si>
  <si>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</si>
  <si>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</si>
  <si>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</si>
  <si>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</si>
  <si>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</si>
  <si>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وغدیر 16820 تا 165.6 (با پول وبانک که 150000 تومن ضرر داشت)</t>
  </si>
  <si>
    <t>وغدیر 24243 تا 166.2 (با پول وبانک که 250000 تومن ضرر داشت)</t>
  </si>
  <si>
    <t>وغدیر 1000 تا 165.1</t>
  </si>
  <si>
    <t>173.6- 186.8     190.0-191.5</t>
  </si>
  <si>
    <t>سکه9912 تعداد 10 قیمت 389000</t>
  </si>
  <si>
    <t>خرید علی تره بار</t>
  </si>
  <si>
    <t>خرید علی از تره 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</si>
</sst>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1" workbookViewId="0">
      <selection activeCell="E56" sqref="E56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4448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4456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4458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4463</v>
      </c>
      <c r="B5" s="18">
        <v>1100000</v>
      </c>
      <c r="C5" s="18">
        <v>0</v>
      </c>
      <c r="D5" s="113">
        <f t="shared" si="0"/>
        <v>1100000</v>
      </c>
      <c r="E5" s="20" t="s">
        <v>4336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4470</v>
      </c>
      <c r="B6" s="18">
        <v>3000000</v>
      </c>
      <c r="C6" s="18">
        <v>0</v>
      </c>
      <c r="D6" s="113">
        <f t="shared" si="0"/>
        <v>3000000</v>
      </c>
      <c r="E6" s="19" t="s">
        <v>4471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4462</v>
      </c>
      <c r="B7" s="18">
        <v>-2000700</v>
      </c>
      <c r="C7" s="18">
        <v>0</v>
      </c>
      <c r="D7" s="113">
        <f t="shared" si="0"/>
        <v>-2000700</v>
      </c>
      <c r="E7" s="19" t="s">
        <v>4502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4462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4462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4462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4511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4511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4520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4531</v>
      </c>
      <c r="B16" s="18">
        <v>12000000</v>
      </c>
      <c r="C16" s="18">
        <v>0</v>
      </c>
      <c r="D16" s="113">
        <f t="shared" si="0"/>
        <v>12000000</v>
      </c>
      <c r="E16" s="20" t="s">
        <v>4532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4533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4535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4537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4537</v>
      </c>
      <c r="B20" s="18">
        <v>0</v>
      </c>
      <c r="C20" s="18">
        <v>-8034286</v>
      </c>
      <c r="D20" s="113">
        <f t="shared" si="0"/>
        <v>8034286</v>
      </c>
      <c r="E20" s="19" t="s">
        <v>4541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4537</v>
      </c>
      <c r="B21" s="18">
        <v>-10000</v>
      </c>
      <c r="C21" s="18">
        <v>0</v>
      </c>
      <c r="D21" s="113">
        <f t="shared" si="0"/>
        <v>-10000</v>
      </c>
      <c r="E21" s="19" t="s">
        <v>4542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4543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4562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4564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4564</v>
      </c>
      <c r="B25" s="18">
        <v>-100500</v>
      </c>
      <c r="C25" s="18">
        <v>0</v>
      </c>
      <c r="D25" s="113">
        <f t="shared" si="0"/>
        <v>-100500</v>
      </c>
      <c r="E25" s="19" t="s">
        <v>4568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4564</v>
      </c>
      <c r="B26" s="18">
        <v>-68670</v>
      </c>
      <c r="C26" s="18">
        <v>0</v>
      </c>
      <c r="D26" s="113">
        <f t="shared" si="0"/>
        <v>-68670</v>
      </c>
      <c r="E26" s="19" t="s">
        <v>4574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4570</v>
      </c>
      <c r="B27" s="18">
        <v>-118600</v>
      </c>
      <c r="C27" s="18">
        <v>0</v>
      </c>
      <c r="D27" s="113">
        <f t="shared" si="0"/>
        <v>-118600</v>
      </c>
      <c r="E27" s="19" t="s">
        <v>4577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4587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4587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4587</v>
      </c>
      <c r="B30" s="18">
        <v>-389000</v>
      </c>
      <c r="C30" s="18">
        <v>0</v>
      </c>
      <c r="D30" s="113">
        <f t="shared" si="0"/>
        <v>-389000</v>
      </c>
      <c r="E30" s="19" t="s">
        <v>4594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4499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4503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4505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4504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4523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4524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4525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4526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4534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4549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4557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4568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4575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4588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zoomScaleNormal="100" workbookViewId="0">
      <pane ySplit="1" topLeftCell="A254" activePane="bottomLeft" state="frozen"/>
      <selection pane="bottomLeft" activeCell="F267" sqref="F267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983</v>
      </c>
      <c r="H2" s="36">
        <f>IF(B2&gt;0,1,0)</f>
        <v>1</v>
      </c>
      <c r="I2" s="11">
        <f>B2*(G2-H2)</f>
        <v>16399400</v>
      </c>
      <c r="J2" s="53">
        <f>C2*(G2-H2)</f>
        <v>16399400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982</v>
      </c>
      <c r="H3" s="36">
        <f t="shared" ref="H3:H66" si="2">IF(B3&gt;0,1,0)</f>
        <v>1</v>
      </c>
      <c r="I3" s="11">
        <f t="shared" ref="I3:I66" si="3">B3*(G3-H3)</f>
        <v>19521900000</v>
      </c>
      <c r="J3" s="53">
        <f t="shared" ref="J3:J66" si="4">C3*(G3-H3)</f>
        <v>11170647000</v>
      </c>
      <c r="K3" s="53">
        <f t="shared" ref="K3:K66" si="5">D3*(G3-H3)</f>
        <v>8351253000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982</v>
      </c>
      <c r="H4" s="36">
        <f t="shared" si="2"/>
        <v>0</v>
      </c>
      <c r="I4" s="11">
        <f t="shared" si="3"/>
        <v>0</v>
      </c>
      <c r="J4" s="53">
        <f t="shared" si="4"/>
        <v>8347000</v>
      </c>
      <c r="K4" s="53">
        <f t="shared" si="5"/>
        <v>-8347000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980</v>
      </c>
      <c r="H5" s="36">
        <f t="shared" si="2"/>
        <v>1</v>
      </c>
      <c r="I5" s="11">
        <f t="shared" si="3"/>
        <v>1958000000</v>
      </c>
      <c r="J5" s="53">
        <f t="shared" si="4"/>
        <v>0</v>
      </c>
      <c r="K5" s="53">
        <f t="shared" si="5"/>
        <v>1958000000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973</v>
      </c>
      <c r="H6" s="36">
        <f t="shared" si="2"/>
        <v>0</v>
      </c>
      <c r="I6" s="11">
        <f t="shared" si="3"/>
        <v>-4865000</v>
      </c>
      <c r="J6" s="53">
        <f t="shared" si="4"/>
        <v>0</v>
      </c>
      <c r="K6" s="53">
        <f t="shared" si="5"/>
        <v>-4865000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969</v>
      </c>
      <c r="H7" s="36">
        <f t="shared" si="2"/>
        <v>0</v>
      </c>
      <c r="I7" s="11">
        <f t="shared" si="3"/>
        <v>-1163284500</v>
      </c>
      <c r="J7" s="53">
        <f t="shared" si="4"/>
        <v>0</v>
      </c>
      <c r="K7" s="53">
        <f t="shared" si="5"/>
        <v>-1163284500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968</v>
      </c>
      <c r="H8" s="36">
        <f t="shared" si="2"/>
        <v>0</v>
      </c>
      <c r="I8" s="11">
        <f t="shared" si="3"/>
        <v>-193600000</v>
      </c>
      <c r="J8" s="53">
        <f t="shared" si="4"/>
        <v>0</v>
      </c>
      <c r="K8" s="53">
        <f t="shared" si="5"/>
        <v>-193600000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966</v>
      </c>
      <c r="H9" s="36">
        <f t="shared" si="2"/>
        <v>0</v>
      </c>
      <c r="I9" s="11">
        <f t="shared" si="3"/>
        <v>-681513000</v>
      </c>
      <c r="J9" s="53">
        <f t="shared" si="4"/>
        <v>0</v>
      </c>
      <c r="K9" s="53">
        <f t="shared" si="5"/>
        <v>-681513000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957</v>
      </c>
      <c r="H10" s="36">
        <f t="shared" si="2"/>
        <v>0</v>
      </c>
      <c r="I10" s="11">
        <f t="shared" si="3"/>
        <v>-191400000</v>
      </c>
      <c r="J10" s="53">
        <f t="shared" si="4"/>
        <v>0</v>
      </c>
      <c r="K10" s="53">
        <f t="shared" si="5"/>
        <v>-191400000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957</v>
      </c>
      <c r="H11" s="36">
        <f t="shared" si="2"/>
        <v>1</v>
      </c>
      <c r="I11" s="11">
        <f t="shared" si="3"/>
        <v>956000000</v>
      </c>
      <c r="J11" s="53">
        <f t="shared" si="4"/>
        <v>0</v>
      </c>
      <c r="K11" s="53">
        <f t="shared" si="5"/>
        <v>956000000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953</v>
      </c>
      <c r="H12" s="36">
        <f t="shared" si="2"/>
        <v>0</v>
      </c>
      <c r="I12" s="11">
        <f t="shared" si="3"/>
        <v>-285900000</v>
      </c>
      <c r="J12" s="53">
        <f t="shared" si="4"/>
        <v>0</v>
      </c>
      <c r="K12" s="53">
        <f t="shared" si="5"/>
        <v>-285900000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948</v>
      </c>
      <c r="H13" s="36">
        <f t="shared" si="2"/>
        <v>0</v>
      </c>
      <c r="I13" s="11">
        <f t="shared" si="3"/>
        <v>-58776000</v>
      </c>
      <c r="J13" s="53">
        <f t="shared" si="4"/>
        <v>0</v>
      </c>
      <c r="K13" s="53">
        <f t="shared" si="5"/>
        <v>-58776000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948</v>
      </c>
      <c r="H14" s="36">
        <f t="shared" si="2"/>
        <v>1</v>
      </c>
      <c r="I14" s="11">
        <f t="shared" si="3"/>
        <v>1894000000</v>
      </c>
      <c r="J14" s="53">
        <f t="shared" si="4"/>
        <v>0</v>
      </c>
      <c r="K14" s="53">
        <f t="shared" si="5"/>
        <v>1894000000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947</v>
      </c>
      <c r="H15" s="36">
        <f t="shared" si="2"/>
        <v>1</v>
      </c>
      <c r="I15" s="11">
        <f t="shared" si="3"/>
        <v>1702800000</v>
      </c>
      <c r="J15" s="53">
        <f t="shared" si="4"/>
        <v>0</v>
      </c>
      <c r="K15" s="53">
        <f t="shared" si="5"/>
        <v>1702800000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947</v>
      </c>
      <c r="H16" s="36">
        <f t="shared" si="2"/>
        <v>0</v>
      </c>
      <c r="I16" s="11">
        <f t="shared" si="3"/>
        <v>-189400000</v>
      </c>
      <c r="J16" s="53">
        <f t="shared" si="4"/>
        <v>0</v>
      </c>
      <c r="K16" s="53">
        <f t="shared" si="5"/>
        <v>-189400000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943</v>
      </c>
      <c r="H17" s="36">
        <f t="shared" si="2"/>
        <v>0</v>
      </c>
      <c r="I17" s="11">
        <f t="shared" si="3"/>
        <v>-1886000000</v>
      </c>
      <c r="J17" s="53">
        <f t="shared" si="4"/>
        <v>0</v>
      </c>
      <c r="K17" s="53">
        <f t="shared" si="5"/>
        <v>-1886000000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942</v>
      </c>
      <c r="H18" s="36">
        <f t="shared" si="2"/>
        <v>0</v>
      </c>
      <c r="I18" s="11">
        <f t="shared" si="3"/>
        <v>-282600000</v>
      </c>
      <c r="J18" s="53">
        <f t="shared" si="4"/>
        <v>0</v>
      </c>
      <c r="K18" s="53">
        <f t="shared" si="5"/>
        <v>-282600000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941</v>
      </c>
      <c r="H19" s="36">
        <f t="shared" si="2"/>
        <v>0</v>
      </c>
      <c r="I19" s="11">
        <f t="shared" si="3"/>
        <v>-188200000</v>
      </c>
      <c r="J19" s="53">
        <f t="shared" si="4"/>
        <v>0</v>
      </c>
      <c r="K19" s="53">
        <f t="shared" si="5"/>
        <v>-188200000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939</v>
      </c>
      <c r="H20" s="36">
        <f t="shared" si="2"/>
        <v>1</v>
      </c>
      <c r="I20" s="11">
        <f t="shared" si="3"/>
        <v>254281482</v>
      </c>
      <c r="J20" s="53">
        <f t="shared" si="4"/>
        <v>138309976</v>
      </c>
      <c r="K20" s="53">
        <f t="shared" si="5"/>
        <v>115971506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937</v>
      </c>
      <c r="H21" s="36">
        <f t="shared" si="2"/>
        <v>0</v>
      </c>
      <c r="I21" s="11">
        <f t="shared" si="3"/>
        <v>-1410840900</v>
      </c>
      <c r="J21" s="53">
        <f t="shared" si="4"/>
        <v>0</v>
      </c>
      <c r="K21" s="53">
        <f t="shared" si="5"/>
        <v>-1410840900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934</v>
      </c>
      <c r="H22" s="36">
        <f t="shared" si="2"/>
        <v>1</v>
      </c>
      <c r="I22" s="11">
        <f t="shared" si="3"/>
        <v>2799000000</v>
      </c>
      <c r="J22" s="53">
        <f t="shared" si="4"/>
        <v>0</v>
      </c>
      <c r="K22" s="53">
        <f t="shared" si="5"/>
        <v>2799000000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933</v>
      </c>
      <c r="H23" s="36">
        <f t="shared" si="2"/>
        <v>1</v>
      </c>
      <c r="I23" s="11">
        <f t="shared" si="3"/>
        <v>932000000</v>
      </c>
      <c r="J23" s="53">
        <f t="shared" si="4"/>
        <v>0</v>
      </c>
      <c r="K23" s="53">
        <f t="shared" si="5"/>
        <v>932000000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932</v>
      </c>
      <c r="H24" s="36">
        <f t="shared" si="2"/>
        <v>0</v>
      </c>
      <c r="I24" s="11">
        <f t="shared" si="3"/>
        <v>-2796838800</v>
      </c>
      <c r="J24" s="53">
        <f t="shared" si="4"/>
        <v>0</v>
      </c>
      <c r="K24" s="53">
        <f t="shared" si="5"/>
        <v>-2796838800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917</v>
      </c>
      <c r="H25" s="36">
        <f t="shared" si="2"/>
        <v>1</v>
      </c>
      <c r="I25" s="11">
        <f t="shared" si="3"/>
        <v>1374000000</v>
      </c>
      <c r="J25" s="53">
        <f t="shared" si="4"/>
        <v>0</v>
      </c>
      <c r="K25" s="53">
        <f t="shared" si="5"/>
        <v>1374000000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909</v>
      </c>
      <c r="H26" s="36">
        <f t="shared" si="2"/>
        <v>0</v>
      </c>
      <c r="I26" s="11">
        <f t="shared" si="3"/>
        <v>-149076000</v>
      </c>
      <c r="J26" s="53">
        <f t="shared" si="4"/>
        <v>0</v>
      </c>
      <c r="K26" s="53">
        <f t="shared" si="5"/>
        <v>-149076000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908</v>
      </c>
      <c r="H27" s="36">
        <f t="shared" si="2"/>
        <v>1</v>
      </c>
      <c r="I27" s="11">
        <f t="shared" si="3"/>
        <v>180849451</v>
      </c>
      <c r="J27" s="53">
        <f t="shared" si="4"/>
        <v>97423591</v>
      </c>
      <c r="K27" s="53">
        <f t="shared" si="5"/>
        <v>83425860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906</v>
      </c>
      <c r="H28" s="36">
        <f t="shared" si="2"/>
        <v>0</v>
      </c>
      <c r="I28" s="11">
        <f t="shared" si="3"/>
        <v>-200226000</v>
      </c>
      <c r="J28" s="53">
        <f t="shared" si="4"/>
        <v>-200226000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906</v>
      </c>
      <c r="H29" s="36">
        <f t="shared" si="2"/>
        <v>0</v>
      </c>
      <c r="I29" s="11">
        <f t="shared" si="3"/>
        <v>-453453000</v>
      </c>
      <c r="J29" s="53">
        <f t="shared" si="4"/>
        <v>0</v>
      </c>
      <c r="K29" s="53">
        <f t="shared" si="5"/>
        <v>-453453000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906</v>
      </c>
      <c r="H30" s="36">
        <f t="shared" si="2"/>
        <v>0</v>
      </c>
      <c r="I30" s="11">
        <f t="shared" si="3"/>
        <v>-13590000000</v>
      </c>
      <c r="J30" s="53">
        <f t="shared" si="4"/>
        <v>-13590000000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889</v>
      </c>
      <c r="H31" s="36">
        <f t="shared" si="2"/>
        <v>0</v>
      </c>
      <c r="I31" s="11">
        <f t="shared" si="3"/>
        <v>-2676690100</v>
      </c>
      <c r="J31" s="53">
        <f t="shared" si="4"/>
        <v>0</v>
      </c>
      <c r="K31" s="53">
        <f t="shared" si="5"/>
        <v>-2676690100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887</v>
      </c>
      <c r="H32" s="36">
        <f t="shared" si="2"/>
        <v>0</v>
      </c>
      <c r="I32" s="11">
        <f t="shared" si="3"/>
        <v>-2666233300</v>
      </c>
      <c r="J32" s="53">
        <f t="shared" si="4"/>
        <v>0</v>
      </c>
      <c r="K32" s="53">
        <f t="shared" si="5"/>
        <v>-2666233300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886</v>
      </c>
      <c r="H33" s="36">
        <f t="shared" si="2"/>
        <v>0</v>
      </c>
      <c r="I33" s="11">
        <f t="shared" si="3"/>
        <v>-793413000</v>
      </c>
      <c r="J33" s="53">
        <f t="shared" si="4"/>
        <v>0</v>
      </c>
      <c r="K33" s="53">
        <f t="shared" si="5"/>
        <v>-793413000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886</v>
      </c>
      <c r="H34" s="36">
        <f t="shared" si="2"/>
        <v>0</v>
      </c>
      <c r="I34" s="11">
        <f t="shared" si="3"/>
        <v>0</v>
      </c>
      <c r="J34" s="53">
        <f t="shared" si="4"/>
        <v>886000000</v>
      </c>
      <c r="K34" s="53">
        <f t="shared" si="5"/>
        <v>-886000000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877</v>
      </c>
      <c r="H35" s="36">
        <f t="shared" si="2"/>
        <v>1</v>
      </c>
      <c r="I35" s="11">
        <f t="shared" si="3"/>
        <v>45965472</v>
      </c>
      <c r="J35" s="53">
        <f t="shared" si="4"/>
        <v>-18976788</v>
      </c>
      <c r="K35" s="53">
        <f t="shared" si="5"/>
        <v>64942260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877</v>
      </c>
      <c r="H36" s="36">
        <f t="shared" si="2"/>
        <v>0</v>
      </c>
      <c r="I36" s="11">
        <f t="shared" si="3"/>
        <v>0</v>
      </c>
      <c r="J36" s="53">
        <f t="shared" si="4"/>
        <v>18998451</v>
      </c>
      <c r="K36" s="53">
        <f t="shared" si="5"/>
        <v>-18998451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867</v>
      </c>
      <c r="H37" s="36">
        <f t="shared" si="2"/>
        <v>0</v>
      </c>
      <c r="I37" s="11">
        <f t="shared" si="3"/>
        <v>-47685000</v>
      </c>
      <c r="J37" s="53">
        <f t="shared" si="4"/>
        <v>0</v>
      </c>
      <c r="K37" s="53">
        <f t="shared" si="5"/>
        <v>-47685000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866</v>
      </c>
      <c r="H38" s="36">
        <f t="shared" si="2"/>
        <v>1</v>
      </c>
      <c r="I38" s="11">
        <f t="shared" si="3"/>
        <v>2595000000</v>
      </c>
      <c r="J38" s="53">
        <f t="shared" si="4"/>
        <v>2595000000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865</v>
      </c>
      <c r="H39" s="36">
        <f t="shared" si="2"/>
        <v>1</v>
      </c>
      <c r="I39" s="11">
        <f t="shared" si="3"/>
        <v>2160000000</v>
      </c>
      <c r="J39" s="53">
        <f t="shared" si="4"/>
        <v>2160000000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865</v>
      </c>
      <c r="H40" s="36">
        <f t="shared" si="2"/>
        <v>0</v>
      </c>
      <c r="I40" s="11">
        <f t="shared" si="3"/>
        <v>-43250000</v>
      </c>
      <c r="J40" s="53">
        <f t="shared" si="4"/>
        <v>0</v>
      </c>
      <c r="K40" s="53">
        <f t="shared" si="5"/>
        <v>-43250000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865</v>
      </c>
      <c r="H41" s="36">
        <f t="shared" si="2"/>
        <v>1</v>
      </c>
      <c r="I41" s="11">
        <f t="shared" si="3"/>
        <v>2592000000</v>
      </c>
      <c r="J41" s="53">
        <f t="shared" si="4"/>
        <v>0</v>
      </c>
      <c r="K41" s="53">
        <f t="shared" si="5"/>
        <v>2592000000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862</v>
      </c>
      <c r="H42" s="36">
        <f t="shared" si="2"/>
        <v>0</v>
      </c>
      <c r="I42" s="11">
        <f t="shared" si="3"/>
        <v>-76890400</v>
      </c>
      <c r="J42" s="53">
        <f t="shared" si="4"/>
        <v>0</v>
      </c>
      <c r="K42" s="53">
        <f t="shared" si="5"/>
        <v>-76890400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858</v>
      </c>
      <c r="H43" s="36">
        <f t="shared" si="2"/>
        <v>0</v>
      </c>
      <c r="I43" s="11">
        <f t="shared" si="3"/>
        <v>-171600000</v>
      </c>
      <c r="J43" s="53">
        <f t="shared" si="4"/>
        <v>0</v>
      </c>
      <c r="K43" s="53">
        <f t="shared" si="5"/>
        <v>-171600000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856</v>
      </c>
      <c r="H44" s="36">
        <f t="shared" si="2"/>
        <v>0</v>
      </c>
      <c r="I44" s="11">
        <f t="shared" si="3"/>
        <v>-171200000</v>
      </c>
      <c r="J44" s="53">
        <f t="shared" si="4"/>
        <v>0</v>
      </c>
      <c r="K44" s="53">
        <f t="shared" si="5"/>
        <v>-171200000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856</v>
      </c>
      <c r="H45" s="36">
        <f t="shared" si="2"/>
        <v>0</v>
      </c>
      <c r="I45" s="11">
        <f t="shared" si="3"/>
        <v>-479360000</v>
      </c>
      <c r="J45" s="53">
        <f t="shared" si="4"/>
        <v>0</v>
      </c>
      <c r="K45" s="53">
        <f t="shared" si="5"/>
        <v>-479360000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852</v>
      </c>
      <c r="H46" s="36">
        <f t="shared" si="2"/>
        <v>0</v>
      </c>
      <c r="I46" s="11">
        <f t="shared" si="3"/>
        <v>-601086000</v>
      </c>
      <c r="J46" s="53">
        <f t="shared" si="4"/>
        <v>0</v>
      </c>
      <c r="K46" s="53">
        <f t="shared" si="5"/>
        <v>-601086000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846</v>
      </c>
      <c r="H47" s="36">
        <f t="shared" si="2"/>
        <v>1</v>
      </c>
      <c r="I47" s="11">
        <f t="shared" si="3"/>
        <v>34817380</v>
      </c>
      <c r="J47" s="53">
        <f t="shared" si="4"/>
        <v>5672485</v>
      </c>
      <c r="K47" s="53">
        <f t="shared" si="5"/>
        <v>29144895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846</v>
      </c>
      <c r="H48" s="36">
        <f t="shared" si="2"/>
        <v>1</v>
      </c>
      <c r="I48" s="11">
        <f t="shared" si="3"/>
        <v>1440471500</v>
      </c>
      <c r="J48" s="53">
        <f t="shared" si="4"/>
        <v>0</v>
      </c>
      <c r="K48" s="53">
        <f t="shared" si="5"/>
        <v>1440471500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837</v>
      </c>
      <c r="H49" s="36">
        <f t="shared" si="2"/>
        <v>0</v>
      </c>
      <c r="I49" s="11">
        <f t="shared" si="3"/>
        <v>-129735000</v>
      </c>
      <c r="J49" s="53">
        <f t="shared" si="4"/>
        <v>0</v>
      </c>
      <c r="K49" s="53">
        <f t="shared" si="5"/>
        <v>-129735000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837</v>
      </c>
      <c r="H50" s="36">
        <f t="shared" si="2"/>
        <v>0</v>
      </c>
      <c r="I50" s="11">
        <f t="shared" si="3"/>
        <v>-115506000</v>
      </c>
      <c r="J50" s="53">
        <f t="shared" si="4"/>
        <v>0</v>
      </c>
      <c r="K50" s="53">
        <f t="shared" si="5"/>
        <v>-115506000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837</v>
      </c>
      <c r="H51" s="36">
        <f t="shared" si="2"/>
        <v>0</v>
      </c>
      <c r="I51" s="11">
        <f t="shared" si="3"/>
        <v>-619380000</v>
      </c>
      <c r="J51" s="53">
        <f t="shared" si="4"/>
        <v>0</v>
      </c>
      <c r="K51" s="53">
        <f t="shared" si="5"/>
        <v>-619380000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837</v>
      </c>
      <c r="H52" s="36">
        <f t="shared" si="2"/>
        <v>0</v>
      </c>
      <c r="I52" s="11">
        <f t="shared" si="3"/>
        <v>-167400000</v>
      </c>
      <c r="J52" s="53">
        <f t="shared" si="4"/>
        <v>0</v>
      </c>
      <c r="K52" s="53">
        <f t="shared" si="5"/>
        <v>-167400000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836</v>
      </c>
      <c r="H53" s="36">
        <f t="shared" si="2"/>
        <v>0</v>
      </c>
      <c r="I53" s="11">
        <f t="shared" si="3"/>
        <v>-881980000</v>
      </c>
      <c r="J53" s="53">
        <f t="shared" si="4"/>
        <v>0</v>
      </c>
      <c r="K53" s="53">
        <f t="shared" si="5"/>
        <v>-881980000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836</v>
      </c>
      <c r="H54" s="36">
        <f t="shared" si="2"/>
        <v>0</v>
      </c>
      <c r="I54" s="11">
        <f t="shared" si="3"/>
        <v>-167200000</v>
      </c>
      <c r="J54" s="53">
        <f t="shared" si="4"/>
        <v>0</v>
      </c>
      <c r="K54" s="53">
        <f t="shared" si="5"/>
        <v>-167200000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836</v>
      </c>
      <c r="H55" s="36">
        <f t="shared" si="2"/>
        <v>0</v>
      </c>
      <c r="I55" s="11">
        <f t="shared" si="3"/>
        <v>-836418000</v>
      </c>
      <c r="J55" s="53">
        <f t="shared" si="4"/>
        <v>0</v>
      </c>
      <c r="K55" s="53">
        <f t="shared" si="5"/>
        <v>-836418000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836</v>
      </c>
      <c r="H56" s="36">
        <f t="shared" si="2"/>
        <v>0</v>
      </c>
      <c r="I56" s="11">
        <f t="shared" si="3"/>
        <v>-31768000</v>
      </c>
      <c r="J56" s="53">
        <f t="shared" si="4"/>
        <v>0</v>
      </c>
      <c r="K56" s="53">
        <f t="shared" si="5"/>
        <v>-31768000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836</v>
      </c>
      <c r="H57" s="36">
        <f t="shared" si="2"/>
        <v>0</v>
      </c>
      <c r="I57" s="11">
        <f t="shared" si="3"/>
        <v>-87780000</v>
      </c>
      <c r="J57" s="53">
        <f t="shared" si="4"/>
        <v>0</v>
      </c>
      <c r="K57" s="53">
        <f t="shared" si="5"/>
        <v>-87780000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836</v>
      </c>
      <c r="H58" s="36">
        <f t="shared" si="2"/>
        <v>0</v>
      </c>
      <c r="I58" s="11">
        <f t="shared" si="3"/>
        <v>-50160000</v>
      </c>
      <c r="J58" s="53">
        <f t="shared" si="4"/>
        <v>0</v>
      </c>
      <c r="K58" s="53">
        <f t="shared" si="5"/>
        <v>-50160000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833</v>
      </c>
      <c r="H59" s="36">
        <f t="shared" si="2"/>
        <v>1</v>
      </c>
      <c r="I59" s="11">
        <f t="shared" si="3"/>
        <v>832000000</v>
      </c>
      <c r="J59" s="53">
        <f t="shared" si="4"/>
        <v>832000000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832</v>
      </c>
      <c r="H60" s="36">
        <f t="shared" si="2"/>
        <v>1</v>
      </c>
      <c r="I60" s="11">
        <f t="shared" si="3"/>
        <v>2908500000</v>
      </c>
      <c r="J60" s="53">
        <f t="shared" si="4"/>
        <v>2908500000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830</v>
      </c>
      <c r="H61" s="36">
        <f t="shared" si="2"/>
        <v>1</v>
      </c>
      <c r="I61" s="11">
        <f t="shared" si="3"/>
        <v>829000000</v>
      </c>
      <c r="J61" s="53">
        <f t="shared" si="4"/>
        <v>829000000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830</v>
      </c>
      <c r="H62" s="36">
        <f t="shared" si="2"/>
        <v>1</v>
      </c>
      <c r="I62" s="11">
        <f t="shared" si="3"/>
        <v>2487000000</v>
      </c>
      <c r="J62" s="53">
        <f t="shared" si="4"/>
        <v>2487000000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828</v>
      </c>
      <c r="H63" s="36">
        <f t="shared" si="2"/>
        <v>0</v>
      </c>
      <c r="I63" s="11">
        <f t="shared" si="3"/>
        <v>-165600000</v>
      </c>
      <c r="J63" s="53">
        <f t="shared" si="4"/>
        <v>0</v>
      </c>
      <c r="K63" s="53">
        <f t="shared" si="5"/>
        <v>-165600000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823</v>
      </c>
      <c r="H64" s="36">
        <f t="shared" si="2"/>
        <v>0</v>
      </c>
      <c r="I64" s="11">
        <f t="shared" si="3"/>
        <v>-41150000</v>
      </c>
      <c r="J64" s="53">
        <f t="shared" si="4"/>
        <v>0</v>
      </c>
      <c r="K64" s="53">
        <f t="shared" si="5"/>
        <v>-41150000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819</v>
      </c>
      <c r="H65" s="36">
        <f t="shared" si="2"/>
        <v>0</v>
      </c>
      <c r="I65" s="11">
        <f t="shared" si="3"/>
        <v>-163800000</v>
      </c>
      <c r="J65" s="53">
        <f t="shared" si="4"/>
        <v>0</v>
      </c>
      <c r="K65" s="53">
        <f t="shared" si="5"/>
        <v>-163800000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816</v>
      </c>
      <c r="H66" s="36">
        <f t="shared" si="2"/>
        <v>0</v>
      </c>
      <c r="I66" s="11">
        <f t="shared" si="3"/>
        <v>-138720000</v>
      </c>
      <c r="J66" s="53">
        <f t="shared" si="4"/>
        <v>0</v>
      </c>
      <c r="K66" s="53">
        <f t="shared" si="5"/>
        <v>-138720000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815</v>
      </c>
      <c r="H67" s="36">
        <f t="shared" ref="H67:H131" si="8">IF(B67&gt;0,1,0)</f>
        <v>1</v>
      </c>
      <c r="I67" s="11">
        <f t="shared" ref="I67:I119" si="9">B67*(G67-H67)</f>
        <v>74338550</v>
      </c>
      <c r="J67" s="53">
        <f t="shared" ref="J67:J131" si="10">C67*(G67-H67)</f>
        <v>53498522</v>
      </c>
      <c r="K67" s="53">
        <f t="shared" ref="K67:K131" si="11">D67*(G67-H67)</f>
        <v>20840028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797</v>
      </c>
      <c r="H68" s="36">
        <f t="shared" si="8"/>
        <v>0</v>
      </c>
      <c r="I68" s="11">
        <f t="shared" si="9"/>
        <v>-115565000</v>
      </c>
      <c r="J68" s="53">
        <f t="shared" si="10"/>
        <v>0</v>
      </c>
      <c r="K68" s="53">
        <f t="shared" si="11"/>
        <v>-115565000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790</v>
      </c>
      <c r="H69" s="36">
        <f t="shared" si="8"/>
        <v>1</v>
      </c>
      <c r="I69" s="11">
        <f t="shared" si="9"/>
        <v>773220000</v>
      </c>
      <c r="J69" s="53">
        <f t="shared" si="10"/>
        <v>0</v>
      </c>
      <c r="K69" s="53">
        <f t="shared" si="11"/>
        <v>773220000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787</v>
      </c>
      <c r="H70" s="36">
        <f t="shared" si="8"/>
        <v>0</v>
      </c>
      <c r="I70" s="11">
        <f t="shared" si="9"/>
        <v>-36202000</v>
      </c>
      <c r="J70" s="53">
        <f t="shared" si="10"/>
        <v>0</v>
      </c>
      <c r="K70" s="53">
        <f t="shared" si="11"/>
        <v>-36202000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785</v>
      </c>
      <c r="H71" s="36">
        <f t="shared" si="8"/>
        <v>1</v>
      </c>
      <c r="I71" s="11">
        <f t="shared" si="9"/>
        <v>90424992</v>
      </c>
      <c r="J71" s="53">
        <f t="shared" si="10"/>
        <v>81388608</v>
      </c>
      <c r="K71" s="53">
        <f t="shared" si="11"/>
        <v>9036384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784</v>
      </c>
      <c r="H72" s="36">
        <f t="shared" si="8"/>
        <v>0</v>
      </c>
      <c r="I72" s="11">
        <f t="shared" si="9"/>
        <v>-119143696</v>
      </c>
      <c r="J72" s="53">
        <f t="shared" si="10"/>
        <v>0</v>
      </c>
      <c r="K72" s="53">
        <f t="shared" si="11"/>
        <v>-119143696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783</v>
      </c>
      <c r="H73" s="36">
        <f t="shared" si="8"/>
        <v>0</v>
      </c>
      <c r="I73" s="11">
        <f t="shared" si="9"/>
        <v>-630706500</v>
      </c>
      <c r="J73" s="53">
        <f t="shared" si="10"/>
        <v>0</v>
      </c>
      <c r="K73" s="53">
        <f t="shared" si="11"/>
        <v>-630706500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776</v>
      </c>
      <c r="H74" s="36">
        <f t="shared" si="8"/>
        <v>1</v>
      </c>
      <c r="I74" s="11">
        <f t="shared" si="9"/>
        <v>5421125000</v>
      </c>
      <c r="J74" s="53">
        <f t="shared" si="10"/>
        <v>0</v>
      </c>
      <c r="K74" s="53">
        <f t="shared" si="11"/>
        <v>5421125000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775</v>
      </c>
      <c r="H75" s="36">
        <f t="shared" si="8"/>
        <v>1</v>
      </c>
      <c r="I75" s="11">
        <f t="shared" si="9"/>
        <v>2322000000</v>
      </c>
      <c r="J75" s="53">
        <f t="shared" si="10"/>
        <v>0</v>
      </c>
      <c r="K75" s="53">
        <f t="shared" si="11"/>
        <v>2322000000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773</v>
      </c>
      <c r="H76" s="36">
        <f t="shared" si="8"/>
        <v>1</v>
      </c>
      <c r="I76" s="11">
        <f t="shared" si="9"/>
        <v>2316000000</v>
      </c>
      <c r="J76" s="53">
        <f t="shared" si="10"/>
        <v>0</v>
      </c>
      <c r="K76" s="53">
        <f t="shared" si="11"/>
        <v>2316000000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772</v>
      </c>
      <c r="H77" s="36">
        <f t="shared" si="8"/>
        <v>1</v>
      </c>
      <c r="I77" s="11">
        <f t="shared" si="9"/>
        <v>2313000000</v>
      </c>
      <c r="J77" s="53">
        <f t="shared" si="10"/>
        <v>0</v>
      </c>
      <c r="K77" s="53">
        <f t="shared" si="11"/>
        <v>2313000000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771</v>
      </c>
      <c r="H78" s="36">
        <f t="shared" si="8"/>
        <v>0</v>
      </c>
      <c r="I78" s="11">
        <f t="shared" si="9"/>
        <v>-2467200000</v>
      </c>
      <c r="J78" s="53">
        <f t="shared" si="10"/>
        <v>-2467200000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770</v>
      </c>
      <c r="H79" s="36">
        <f t="shared" si="8"/>
        <v>0</v>
      </c>
      <c r="I79" s="11">
        <f t="shared" si="9"/>
        <v>-616000000</v>
      </c>
      <c r="J79" s="53">
        <f t="shared" si="10"/>
        <v>-616000000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769</v>
      </c>
      <c r="H80" s="36">
        <f t="shared" si="8"/>
        <v>0</v>
      </c>
      <c r="I80" s="11">
        <f t="shared" si="9"/>
        <v>-37214217</v>
      </c>
      <c r="J80" s="53">
        <f t="shared" si="10"/>
        <v>0</v>
      </c>
      <c r="K80" s="53">
        <f t="shared" si="11"/>
        <v>-37214217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768</v>
      </c>
      <c r="H81" s="36">
        <f t="shared" si="8"/>
        <v>0</v>
      </c>
      <c r="I81" s="11">
        <f t="shared" si="9"/>
        <v>-107520000</v>
      </c>
      <c r="J81" s="53">
        <f t="shared" si="10"/>
        <v>0</v>
      </c>
      <c r="K81" s="53">
        <f t="shared" si="11"/>
        <v>-107520000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767</v>
      </c>
      <c r="H82" s="36">
        <f t="shared" si="8"/>
        <v>0</v>
      </c>
      <c r="I82" s="11">
        <f t="shared" si="9"/>
        <v>-191750000</v>
      </c>
      <c r="J82" s="53">
        <f t="shared" si="10"/>
        <v>0</v>
      </c>
      <c r="K82" s="53">
        <f t="shared" si="11"/>
        <v>-191750000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766</v>
      </c>
      <c r="H83" s="36">
        <f t="shared" si="8"/>
        <v>0</v>
      </c>
      <c r="I83" s="11">
        <f t="shared" si="9"/>
        <v>-153200000</v>
      </c>
      <c r="J83" s="53">
        <f t="shared" si="10"/>
        <v>0</v>
      </c>
      <c r="K83" s="53">
        <f t="shared" si="11"/>
        <v>-153200000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763</v>
      </c>
      <c r="H84" s="36">
        <f t="shared" si="8"/>
        <v>1</v>
      </c>
      <c r="I84" s="11">
        <f t="shared" si="9"/>
        <v>1246022400</v>
      </c>
      <c r="J84" s="53">
        <f t="shared" si="10"/>
        <v>0</v>
      </c>
      <c r="K84" s="53">
        <f t="shared" si="11"/>
        <v>1246022400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759</v>
      </c>
      <c r="H85" s="36">
        <f t="shared" si="8"/>
        <v>1</v>
      </c>
      <c r="I85" s="11">
        <f t="shared" si="9"/>
        <v>1895000000</v>
      </c>
      <c r="J85" s="53">
        <f t="shared" si="10"/>
        <v>0</v>
      </c>
      <c r="K85" s="53">
        <f t="shared" si="11"/>
        <v>1895000000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755</v>
      </c>
      <c r="H86" s="36">
        <f t="shared" si="8"/>
        <v>1</v>
      </c>
      <c r="I86" s="11">
        <f t="shared" si="9"/>
        <v>140470200</v>
      </c>
      <c r="J86" s="53">
        <f t="shared" si="10"/>
        <v>64052300</v>
      </c>
      <c r="K86" s="53">
        <f t="shared" si="11"/>
        <v>76417900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752</v>
      </c>
      <c r="H87" s="36">
        <f t="shared" si="8"/>
        <v>0</v>
      </c>
      <c r="I87" s="11">
        <f t="shared" si="9"/>
        <v>-150400000</v>
      </c>
      <c r="J87" s="53">
        <f t="shared" si="10"/>
        <v>0</v>
      </c>
      <c r="K87" s="53">
        <f t="shared" si="11"/>
        <v>-150400000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751</v>
      </c>
      <c r="H88" s="36">
        <f t="shared" si="8"/>
        <v>0</v>
      </c>
      <c r="I88" s="11">
        <f t="shared" si="9"/>
        <v>-88618000</v>
      </c>
      <c r="J88" s="53">
        <f t="shared" si="10"/>
        <v>-51819000</v>
      </c>
      <c r="K88" s="53">
        <f t="shared" si="11"/>
        <v>-36799000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743</v>
      </c>
      <c r="H89" s="36">
        <f t="shared" si="8"/>
        <v>0</v>
      </c>
      <c r="I89" s="11">
        <f t="shared" si="9"/>
        <v>-2378268700</v>
      </c>
      <c r="J89" s="53">
        <f t="shared" si="10"/>
        <v>0</v>
      </c>
      <c r="K89" s="53">
        <f t="shared" si="11"/>
        <v>-2378268700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742</v>
      </c>
      <c r="H90" s="36">
        <f t="shared" si="8"/>
        <v>0</v>
      </c>
      <c r="I90" s="11">
        <f t="shared" si="9"/>
        <v>-2375067800</v>
      </c>
      <c r="J90" s="53">
        <f t="shared" si="10"/>
        <v>0</v>
      </c>
      <c r="K90" s="53">
        <f t="shared" si="11"/>
        <v>-2375067800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741</v>
      </c>
      <c r="H91" s="36">
        <f t="shared" si="8"/>
        <v>0</v>
      </c>
      <c r="I91" s="11">
        <f t="shared" si="9"/>
        <v>-2371866900</v>
      </c>
      <c r="J91" s="53">
        <f t="shared" si="10"/>
        <v>0</v>
      </c>
      <c r="K91" s="53">
        <f t="shared" si="11"/>
        <v>-2371866900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740</v>
      </c>
      <c r="H92" s="36">
        <f t="shared" si="8"/>
        <v>0</v>
      </c>
      <c r="I92" s="11">
        <f t="shared" si="9"/>
        <v>-2368666000</v>
      </c>
      <c r="J92" s="53">
        <f t="shared" si="10"/>
        <v>0</v>
      </c>
      <c r="K92" s="53">
        <f t="shared" si="11"/>
        <v>-2368666000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739</v>
      </c>
      <c r="H93" s="36">
        <f t="shared" si="8"/>
        <v>0</v>
      </c>
      <c r="I93" s="11">
        <f t="shared" si="9"/>
        <v>-2365465100</v>
      </c>
      <c r="J93" s="53">
        <f t="shared" si="10"/>
        <v>0</v>
      </c>
      <c r="K93" s="53">
        <f t="shared" si="11"/>
        <v>-2365465100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738</v>
      </c>
      <c r="H94" s="36">
        <f t="shared" si="8"/>
        <v>0</v>
      </c>
      <c r="I94" s="11">
        <f t="shared" si="9"/>
        <v>-2362264200</v>
      </c>
      <c r="J94" s="53">
        <f t="shared" si="10"/>
        <v>0</v>
      </c>
      <c r="K94" s="53">
        <f t="shared" si="11"/>
        <v>-2362264200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736</v>
      </c>
      <c r="H95" s="36">
        <f t="shared" si="8"/>
        <v>0</v>
      </c>
      <c r="I95" s="11">
        <f t="shared" si="9"/>
        <v>-880694656</v>
      </c>
      <c r="J95" s="53">
        <f t="shared" si="10"/>
        <v>0</v>
      </c>
      <c r="K95" s="53">
        <f t="shared" si="11"/>
        <v>-880694656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726</v>
      </c>
      <c r="H96" s="36">
        <f t="shared" si="8"/>
        <v>0</v>
      </c>
      <c r="I96" s="11">
        <f t="shared" si="9"/>
        <v>-145200000</v>
      </c>
      <c r="J96" s="53">
        <f t="shared" si="10"/>
        <v>0</v>
      </c>
      <c r="K96" s="53">
        <f t="shared" si="11"/>
        <v>-145200000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725</v>
      </c>
      <c r="H97" s="36">
        <f t="shared" si="8"/>
        <v>1</v>
      </c>
      <c r="I97" s="11">
        <f t="shared" si="9"/>
        <v>115519992</v>
      </c>
      <c r="J97" s="53">
        <f t="shared" si="10"/>
        <v>49902424</v>
      </c>
      <c r="K97" s="53">
        <f t="shared" si="11"/>
        <v>65617568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720</v>
      </c>
      <c r="H98" s="36">
        <f t="shared" si="8"/>
        <v>1</v>
      </c>
      <c r="I98" s="11">
        <f t="shared" si="9"/>
        <v>82230592</v>
      </c>
      <c r="J98" s="53">
        <f t="shared" si="10"/>
        <v>0</v>
      </c>
      <c r="K98" s="53">
        <f t="shared" si="11"/>
        <v>82230592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717</v>
      </c>
      <c r="H99" s="36">
        <f t="shared" si="8"/>
        <v>0</v>
      </c>
      <c r="I99" s="11">
        <f t="shared" si="9"/>
        <v>-950025000</v>
      </c>
      <c r="J99" s="53">
        <f t="shared" si="10"/>
        <v>0</v>
      </c>
      <c r="K99" s="53">
        <f t="shared" si="11"/>
        <v>-950025000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712</v>
      </c>
      <c r="H100" s="36">
        <f t="shared" si="8"/>
        <v>1</v>
      </c>
      <c r="I100" s="11">
        <f t="shared" si="9"/>
        <v>942075000</v>
      </c>
      <c r="J100" s="53">
        <f t="shared" si="10"/>
        <v>0</v>
      </c>
      <c r="K100" s="53">
        <f t="shared" si="11"/>
        <v>942075000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695</v>
      </c>
      <c r="H101" s="36">
        <f t="shared" si="8"/>
        <v>1</v>
      </c>
      <c r="I101" s="11">
        <f t="shared" si="9"/>
        <v>46390430</v>
      </c>
      <c r="J101" s="53">
        <f t="shared" si="10"/>
        <v>46390430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692</v>
      </c>
      <c r="H102" s="36">
        <f t="shared" si="8"/>
        <v>1</v>
      </c>
      <c r="I102" s="11">
        <f t="shared" si="9"/>
        <v>2073000000</v>
      </c>
      <c r="J102" s="53">
        <f t="shared" si="10"/>
        <v>0</v>
      </c>
      <c r="K102" s="53">
        <f t="shared" si="11"/>
        <v>2073000000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685</v>
      </c>
      <c r="H103" s="36">
        <f t="shared" si="8"/>
        <v>0</v>
      </c>
      <c r="I103" s="11">
        <f t="shared" si="9"/>
        <v>-685000000</v>
      </c>
      <c r="J103" s="53">
        <f t="shared" si="10"/>
        <v>-685000000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675</v>
      </c>
      <c r="H104" s="36">
        <f t="shared" si="8"/>
        <v>1</v>
      </c>
      <c r="I104" s="11">
        <f t="shared" si="9"/>
        <v>2022000000</v>
      </c>
      <c r="J104" s="53">
        <f t="shared" si="10"/>
        <v>2022000000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674</v>
      </c>
      <c r="H105" s="36">
        <f t="shared" si="8"/>
        <v>1</v>
      </c>
      <c r="I105" s="11">
        <f t="shared" si="9"/>
        <v>753760000</v>
      </c>
      <c r="J105" s="53">
        <f t="shared" si="10"/>
        <v>753760000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674</v>
      </c>
      <c r="H106" s="36">
        <f t="shared" si="8"/>
        <v>0</v>
      </c>
      <c r="I106" s="11">
        <f t="shared" si="9"/>
        <v>-2022000000</v>
      </c>
      <c r="J106" s="53">
        <f t="shared" si="10"/>
        <v>0</v>
      </c>
      <c r="K106" s="53">
        <f t="shared" si="11"/>
        <v>-2022000000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665</v>
      </c>
      <c r="H107" s="36">
        <f t="shared" si="8"/>
        <v>1</v>
      </c>
      <c r="I107" s="11">
        <f t="shared" si="9"/>
        <v>60088016</v>
      </c>
      <c r="J107" s="53">
        <f t="shared" si="10"/>
        <v>49876360</v>
      </c>
      <c r="K107" s="53">
        <f t="shared" si="11"/>
        <v>10211656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663</v>
      </c>
      <c r="H108" s="36">
        <f t="shared" si="8"/>
        <v>0</v>
      </c>
      <c r="I108" s="11">
        <f t="shared" si="9"/>
        <v>-1127564100</v>
      </c>
      <c r="J108" s="53">
        <f t="shared" si="10"/>
        <v>0</v>
      </c>
      <c r="K108" s="53">
        <f t="shared" si="11"/>
        <v>-1127564100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659</v>
      </c>
      <c r="H109" s="36">
        <f t="shared" si="8"/>
        <v>0</v>
      </c>
      <c r="I109" s="11">
        <f t="shared" si="9"/>
        <v>-659329500</v>
      </c>
      <c r="J109" s="53">
        <f t="shared" si="10"/>
        <v>0</v>
      </c>
      <c r="K109" s="53">
        <f t="shared" si="11"/>
        <v>-659329500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656</v>
      </c>
      <c r="H110" s="36">
        <f t="shared" si="8"/>
        <v>1</v>
      </c>
      <c r="I110" s="11">
        <f t="shared" si="9"/>
        <v>13100000000</v>
      </c>
      <c r="J110" s="53">
        <f t="shared" si="10"/>
        <v>0</v>
      </c>
      <c r="K110" s="53">
        <f t="shared" si="11"/>
        <v>13100000000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636</v>
      </c>
      <c r="H111" s="36">
        <f t="shared" si="8"/>
        <v>1</v>
      </c>
      <c r="I111" s="11">
        <f t="shared" si="9"/>
        <v>110920530</v>
      </c>
      <c r="J111" s="53">
        <f t="shared" si="10"/>
        <v>55475505</v>
      </c>
      <c r="K111" s="53">
        <f t="shared" si="11"/>
        <v>55445025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620</v>
      </c>
      <c r="H112" s="36">
        <f t="shared" si="8"/>
        <v>0</v>
      </c>
      <c r="I112" s="11">
        <f t="shared" si="9"/>
        <v>-17608000000</v>
      </c>
      <c r="J112" s="53">
        <f t="shared" si="10"/>
        <v>0</v>
      </c>
      <c r="K112" s="53">
        <f t="shared" si="11"/>
        <v>-17608000000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605</v>
      </c>
      <c r="H113" s="36">
        <f t="shared" si="8"/>
        <v>1</v>
      </c>
      <c r="I113" s="11">
        <f t="shared" si="9"/>
        <v>98476160</v>
      </c>
      <c r="J113" s="53">
        <f t="shared" si="10"/>
        <v>73996644</v>
      </c>
      <c r="K113" s="53">
        <f t="shared" si="11"/>
        <v>24479516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605</v>
      </c>
      <c r="H114" s="36">
        <f t="shared" si="8"/>
        <v>0</v>
      </c>
      <c r="I114" s="11">
        <f t="shared" si="9"/>
        <v>-3448500</v>
      </c>
      <c r="J114" s="53">
        <f t="shared" si="10"/>
        <v>-1512500</v>
      </c>
      <c r="K114" s="53">
        <f t="shared" si="11"/>
        <v>-1936000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592</v>
      </c>
      <c r="H115" s="36">
        <f t="shared" si="8"/>
        <v>0</v>
      </c>
      <c r="I115" s="11">
        <f t="shared" si="9"/>
        <v>0</v>
      </c>
      <c r="J115" s="53">
        <f t="shared" si="10"/>
        <v>296000000</v>
      </c>
      <c r="K115" s="53">
        <f t="shared" si="11"/>
        <v>-296000000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584</v>
      </c>
      <c r="H116" s="36">
        <f t="shared" si="8"/>
        <v>0</v>
      </c>
      <c r="I116" s="11">
        <f t="shared" si="9"/>
        <v>-93440000</v>
      </c>
      <c r="J116" s="53">
        <f t="shared" si="10"/>
        <v>0</v>
      </c>
      <c r="K116" s="53">
        <f t="shared" si="11"/>
        <v>-93440000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575</v>
      </c>
      <c r="H117" s="36">
        <f t="shared" si="8"/>
        <v>1</v>
      </c>
      <c r="I117" s="11">
        <f t="shared" si="9"/>
        <v>849520</v>
      </c>
      <c r="J117" s="53">
        <f t="shared" si="10"/>
        <v>61384134</v>
      </c>
      <c r="K117" s="53">
        <f t="shared" si="11"/>
        <v>-60534614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553</v>
      </c>
      <c r="H118" s="36">
        <f t="shared" si="8"/>
        <v>1</v>
      </c>
      <c r="I118" s="11">
        <f t="shared" si="9"/>
        <v>21748524000</v>
      </c>
      <c r="J118" s="53">
        <f t="shared" si="10"/>
        <v>0</v>
      </c>
      <c r="K118" s="53">
        <f t="shared" si="11"/>
        <v>21748524000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544</v>
      </c>
      <c r="H119" s="36">
        <f t="shared" si="8"/>
        <v>1</v>
      </c>
      <c r="I119" s="11">
        <f t="shared" si="9"/>
        <v>51867903</v>
      </c>
      <c r="J119" s="53">
        <f t="shared" si="10"/>
        <v>59759322</v>
      </c>
      <c r="K119" s="53">
        <f t="shared" si="11"/>
        <v>-7891419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540</v>
      </c>
      <c r="H120" s="11">
        <f t="shared" si="8"/>
        <v>1</v>
      </c>
      <c r="I120" s="11">
        <f t="shared" ref="I120:I269" si="13">B120*(G120-H120)</f>
        <v>1078000000</v>
      </c>
      <c r="J120" s="11">
        <f t="shared" si="10"/>
        <v>0</v>
      </c>
      <c r="K120" s="11">
        <f t="shared" si="11"/>
        <v>1078000000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514</v>
      </c>
      <c r="H121" s="11">
        <f t="shared" si="8"/>
        <v>1</v>
      </c>
      <c r="I121" s="11">
        <f t="shared" si="13"/>
        <v>1333800000</v>
      </c>
      <c r="J121" s="11">
        <f t="shared" si="10"/>
        <v>0</v>
      </c>
      <c r="K121" s="11">
        <f t="shared" si="11"/>
        <v>1333800000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513</v>
      </c>
      <c r="H122" s="11">
        <f t="shared" si="8"/>
        <v>1</v>
      </c>
      <c r="I122" s="11">
        <f t="shared" si="13"/>
        <v>196890112</v>
      </c>
      <c r="J122" s="11">
        <f t="shared" si="10"/>
        <v>56784896</v>
      </c>
      <c r="K122" s="11">
        <f t="shared" si="11"/>
        <v>140105216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512</v>
      </c>
      <c r="H123" s="11">
        <f t="shared" si="8"/>
        <v>0</v>
      </c>
      <c r="I123" s="11">
        <f t="shared" si="13"/>
        <v>0</v>
      </c>
      <c r="J123" s="11">
        <f t="shared" si="10"/>
        <v>409600000</v>
      </c>
      <c r="K123" s="11">
        <f t="shared" si="11"/>
        <v>-409600000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498</v>
      </c>
      <c r="H124" s="11">
        <f t="shared" si="8"/>
        <v>0</v>
      </c>
      <c r="I124" s="11">
        <f t="shared" si="13"/>
        <v>-1494000000</v>
      </c>
      <c r="J124" s="11">
        <f t="shared" si="10"/>
        <v>0</v>
      </c>
      <c r="K124" s="11">
        <f t="shared" si="11"/>
        <v>-1494000000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483</v>
      </c>
      <c r="H125" s="11">
        <f t="shared" si="8"/>
        <v>1</v>
      </c>
      <c r="I125" s="11">
        <f t="shared" si="13"/>
        <v>193142220</v>
      </c>
      <c r="J125" s="11">
        <f t="shared" si="10"/>
        <v>57297750</v>
      </c>
      <c r="K125" s="11">
        <f t="shared" si="11"/>
        <v>135844470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483</v>
      </c>
      <c r="H126" s="11">
        <f t="shared" si="8"/>
        <v>1</v>
      </c>
      <c r="I126" s="11">
        <f t="shared" si="13"/>
        <v>20244000000</v>
      </c>
      <c r="J126" s="11">
        <f t="shared" si="10"/>
        <v>0</v>
      </c>
      <c r="K126" s="11">
        <f t="shared" si="11"/>
        <v>20244000000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458</v>
      </c>
      <c r="H127" s="11">
        <f t="shared" si="8"/>
        <v>0</v>
      </c>
      <c r="I127" s="11">
        <f t="shared" si="13"/>
        <v>-2290000</v>
      </c>
      <c r="J127" s="11">
        <f t="shared" si="10"/>
        <v>0</v>
      </c>
      <c r="K127" s="11">
        <f t="shared" si="11"/>
        <v>-2290000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452</v>
      </c>
      <c r="H128" s="11">
        <f t="shared" si="8"/>
        <v>1</v>
      </c>
      <c r="I128" s="11">
        <f t="shared" si="13"/>
        <v>347889674</v>
      </c>
      <c r="J128" s="11">
        <f t="shared" si="10"/>
        <v>54434347</v>
      </c>
      <c r="K128" s="11">
        <f t="shared" si="11"/>
        <v>293455327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449</v>
      </c>
      <c r="H129" s="11">
        <f t="shared" si="8"/>
        <v>1</v>
      </c>
      <c r="I129" s="11">
        <f t="shared" si="13"/>
        <v>1120000000</v>
      </c>
      <c r="J129" s="11">
        <f t="shared" si="10"/>
        <v>0</v>
      </c>
      <c r="K129" s="11">
        <f t="shared" si="11"/>
        <v>1120000000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435</v>
      </c>
      <c r="H130" s="11">
        <f t="shared" si="8"/>
        <v>0</v>
      </c>
      <c r="I130" s="11">
        <f t="shared" si="13"/>
        <v>-435000000</v>
      </c>
      <c r="J130" s="11">
        <f t="shared" si="10"/>
        <v>-435000000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430</v>
      </c>
      <c r="H131" s="11">
        <f t="shared" si="8"/>
        <v>0</v>
      </c>
      <c r="I131" s="11">
        <f t="shared" si="13"/>
        <v>-21500000000</v>
      </c>
      <c r="J131" s="11">
        <f t="shared" si="10"/>
        <v>0</v>
      </c>
      <c r="K131" s="11">
        <f t="shared" si="11"/>
        <v>-21500000000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422</v>
      </c>
      <c r="H132" s="11">
        <f t="shared" ref="H132:H269" si="15">IF(B132&gt;0,1,0)</f>
        <v>1</v>
      </c>
      <c r="I132" s="11">
        <f t="shared" si="13"/>
        <v>258614827</v>
      </c>
      <c r="J132" s="11">
        <f t="shared" ref="J132:J206" si="16">C132*(G132-H132)</f>
        <v>44613791</v>
      </c>
      <c r="K132" s="11">
        <f t="shared" ref="K132:K269" si="17">D132*(G132-H132)</f>
        <v>214001036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418</v>
      </c>
      <c r="H133" s="11">
        <f t="shared" si="15"/>
        <v>0</v>
      </c>
      <c r="I133" s="11">
        <f t="shared" si="13"/>
        <v>-506072600</v>
      </c>
      <c r="J133" s="11">
        <f t="shared" si="16"/>
        <v>0</v>
      </c>
      <c r="K133" s="11">
        <f t="shared" si="17"/>
        <v>-506072600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409</v>
      </c>
      <c r="H134" s="11">
        <f t="shared" si="15"/>
        <v>0</v>
      </c>
      <c r="I134" s="11">
        <f t="shared" si="13"/>
        <v>-26585000</v>
      </c>
      <c r="J134" s="11">
        <f t="shared" si="16"/>
        <v>0</v>
      </c>
      <c r="K134" s="11">
        <f t="shared" si="17"/>
        <v>-26585000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409</v>
      </c>
      <c r="H135" s="11">
        <f t="shared" si="15"/>
        <v>0</v>
      </c>
      <c r="I135" s="11">
        <f t="shared" si="13"/>
        <v>-13210700</v>
      </c>
      <c r="J135" s="11">
        <f t="shared" si="16"/>
        <v>0</v>
      </c>
      <c r="K135" s="11">
        <f t="shared" si="17"/>
        <v>-13210700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401</v>
      </c>
      <c r="H136" s="11">
        <f t="shared" si="15"/>
        <v>0</v>
      </c>
      <c r="I136" s="11">
        <f t="shared" si="13"/>
        <v>-401000000</v>
      </c>
      <c r="J136" s="11">
        <f t="shared" si="16"/>
        <v>-401000000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392</v>
      </c>
      <c r="H137" s="11">
        <f t="shared" si="15"/>
        <v>1</v>
      </c>
      <c r="I137" s="11">
        <f t="shared" si="13"/>
        <v>113731343</v>
      </c>
      <c r="J137" s="11">
        <f t="shared" si="16"/>
        <v>38067369</v>
      </c>
      <c r="K137" s="11">
        <f t="shared" si="17"/>
        <v>75663974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375</v>
      </c>
      <c r="H138" s="11">
        <f t="shared" si="15"/>
        <v>0</v>
      </c>
      <c r="I138" s="11">
        <f t="shared" si="13"/>
        <v>-375187500</v>
      </c>
      <c r="J138" s="11">
        <f t="shared" si="16"/>
        <v>-375187500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363</v>
      </c>
      <c r="H139" s="11">
        <f t="shared" si="15"/>
        <v>1</v>
      </c>
      <c r="I139" s="11">
        <f t="shared" si="13"/>
        <v>102170880</v>
      </c>
      <c r="J139" s="11">
        <f t="shared" si="16"/>
        <v>32148134</v>
      </c>
      <c r="K139" s="11">
        <f t="shared" si="17"/>
        <v>70022746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360</v>
      </c>
      <c r="H140" s="11">
        <f t="shared" si="15"/>
        <v>1</v>
      </c>
      <c r="I140" s="11">
        <f t="shared" si="13"/>
        <v>538500000</v>
      </c>
      <c r="J140" s="11">
        <f t="shared" si="16"/>
        <v>0</v>
      </c>
      <c r="K140" s="11">
        <f t="shared" si="17"/>
        <v>538500000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347</v>
      </c>
      <c r="H141" s="11">
        <f t="shared" si="15"/>
        <v>0</v>
      </c>
      <c r="I141" s="11">
        <f t="shared" si="13"/>
        <v>0</v>
      </c>
      <c r="J141" s="11">
        <f t="shared" si="16"/>
        <v>-347000000</v>
      </c>
      <c r="K141" s="11">
        <f t="shared" si="17"/>
        <v>347000000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333</v>
      </c>
      <c r="H142" s="11">
        <f t="shared" si="15"/>
        <v>1</v>
      </c>
      <c r="I142" s="11">
        <f t="shared" si="13"/>
        <v>96576476</v>
      </c>
      <c r="J142" s="11">
        <f t="shared" si="16"/>
        <v>26899304</v>
      </c>
      <c r="K142" s="11">
        <f t="shared" si="17"/>
        <v>69677172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313</v>
      </c>
      <c r="H143" s="11">
        <f t="shared" si="15"/>
        <v>0</v>
      </c>
      <c r="I143" s="11">
        <f t="shared" si="13"/>
        <v>0</v>
      </c>
      <c r="J143" s="11">
        <f t="shared" si="16"/>
        <v>-313000000</v>
      </c>
      <c r="K143" s="11">
        <f t="shared" si="17"/>
        <v>313000000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303</v>
      </c>
      <c r="H144" s="11">
        <f t="shared" si="15"/>
        <v>1</v>
      </c>
      <c r="I144" s="11">
        <f t="shared" si="13"/>
        <v>89045304</v>
      </c>
      <c r="J144" s="11">
        <f t="shared" si="16"/>
        <v>22546414</v>
      </c>
      <c r="K144" s="11">
        <f t="shared" si="17"/>
        <v>66498890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288</v>
      </c>
      <c r="H145" s="11">
        <f t="shared" si="15"/>
        <v>0</v>
      </c>
      <c r="I145" s="11">
        <f t="shared" si="13"/>
        <v>-2880000</v>
      </c>
      <c r="J145" s="11">
        <f t="shared" si="16"/>
        <v>-1440000</v>
      </c>
      <c r="K145" s="11">
        <f t="shared" si="17"/>
        <v>-1440000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283</v>
      </c>
      <c r="H146" s="11">
        <f t="shared" si="15"/>
        <v>0</v>
      </c>
      <c r="I146" s="11">
        <f t="shared" si="13"/>
        <v>-283141500</v>
      </c>
      <c r="J146" s="11">
        <f t="shared" si="16"/>
        <v>-283141500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277</v>
      </c>
      <c r="H147" s="11">
        <f t="shared" si="15"/>
        <v>0</v>
      </c>
      <c r="I147" s="11">
        <f t="shared" si="13"/>
        <v>-7479000000</v>
      </c>
      <c r="J147" s="11">
        <f t="shared" si="16"/>
        <v>0</v>
      </c>
      <c r="K147" s="11">
        <f t="shared" si="17"/>
        <v>-7479000000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274</v>
      </c>
      <c r="H148" s="11">
        <f t="shared" si="15"/>
        <v>1</v>
      </c>
      <c r="I148" s="11">
        <f t="shared" si="13"/>
        <v>68915028</v>
      </c>
      <c r="J148" s="11">
        <f t="shared" si="16"/>
        <v>17884230</v>
      </c>
      <c r="K148" s="11">
        <f t="shared" si="17"/>
        <v>51030798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9" si="18">B149-C149</f>
        <v>52400000</v>
      </c>
      <c r="E149" s="11" t="s">
        <v>1074</v>
      </c>
      <c r="F149" s="11">
        <v>7</v>
      </c>
      <c r="G149" s="36">
        <f t="shared" si="14"/>
        <v>266</v>
      </c>
      <c r="H149" s="11">
        <f t="shared" si="15"/>
        <v>1</v>
      </c>
      <c r="I149" s="11">
        <f t="shared" si="13"/>
        <v>13886000000</v>
      </c>
      <c r="J149" s="11">
        <f t="shared" si="16"/>
        <v>0</v>
      </c>
      <c r="K149" s="11">
        <f t="shared" si="17"/>
        <v>13886000000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259</v>
      </c>
      <c r="H150" s="11">
        <f t="shared" si="15"/>
        <v>0</v>
      </c>
      <c r="I150" s="11">
        <f t="shared" si="13"/>
        <v>-13468000000</v>
      </c>
      <c r="J150" s="11">
        <f t="shared" si="16"/>
        <v>0</v>
      </c>
      <c r="K150" s="11">
        <f t="shared" si="17"/>
        <v>-13468000000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254</v>
      </c>
      <c r="H151" s="99">
        <f t="shared" si="15"/>
        <v>0</v>
      </c>
      <c r="I151" s="99">
        <f t="shared" si="13"/>
        <v>-2032000000</v>
      </c>
      <c r="J151" s="99">
        <f t="shared" si="16"/>
        <v>-1720121274</v>
      </c>
      <c r="K151" s="11">
        <f t="shared" si="17"/>
        <v>-311878726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254</v>
      </c>
      <c r="H152" s="99">
        <f t="shared" si="15"/>
        <v>0</v>
      </c>
      <c r="I152" s="99">
        <f t="shared" si="13"/>
        <v>-7932420</v>
      </c>
      <c r="J152" s="99">
        <f t="shared" si="16"/>
        <v>0</v>
      </c>
      <c r="K152" s="99">
        <f t="shared" si="17"/>
        <v>-7932420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243</v>
      </c>
      <c r="H153" s="99">
        <f t="shared" si="15"/>
        <v>1</v>
      </c>
      <c r="I153" s="99">
        <f t="shared" si="13"/>
        <v>32691054</v>
      </c>
      <c r="J153" s="99">
        <f t="shared" si="16"/>
        <v>9953460</v>
      </c>
      <c r="K153" s="99">
        <f t="shared" si="17"/>
        <v>22737594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240</v>
      </c>
      <c r="H154" s="99">
        <f t="shared" si="15"/>
        <v>1</v>
      </c>
      <c r="I154" s="99">
        <f t="shared" si="13"/>
        <v>1630955598</v>
      </c>
      <c r="J154" s="99">
        <f t="shared" si="16"/>
        <v>1630955598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235</v>
      </c>
      <c r="H155" s="99">
        <f t="shared" si="15"/>
        <v>0</v>
      </c>
      <c r="I155" s="99">
        <f t="shared" si="13"/>
        <v>-47000000</v>
      </c>
      <c r="J155" s="99">
        <f t="shared" si="16"/>
        <v>0</v>
      </c>
      <c r="K155" s="99">
        <f t="shared" si="17"/>
        <v>-47000000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235</v>
      </c>
      <c r="H156" s="99">
        <f t="shared" si="15"/>
        <v>0</v>
      </c>
      <c r="I156" s="99">
        <f t="shared" si="13"/>
        <v>-58242400</v>
      </c>
      <c r="J156" s="99">
        <f t="shared" si="16"/>
        <v>0</v>
      </c>
      <c r="K156" s="99">
        <f t="shared" si="17"/>
        <v>-58242400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234</v>
      </c>
      <c r="H157" s="99">
        <f t="shared" si="15"/>
        <v>0</v>
      </c>
      <c r="I157" s="99">
        <f t="shared" si="13"/>
        <v>-37987560</v>
      </c>
      <c r="J157" s="99">
        <f t="shared" si="16"/>
        <v>0</v>
      </c>
      <c r="K157" s="99">
        <f t="shared" si="17"/>
        <v>-37987560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234</v>
      </c>
      <c r="H158" s="99">
        <f t="shared" si="15"/>
        <v>0</v>
      </c>
      <c r="I158" s="99">
        <f t="shared" si="13"/>
        <v>-702210600</v>
      </c>
      <c r="J158" s="99">
        <f t="shared" si="16"/>
        <v>0</v>
      </c>
      <c r="K158" s="99">
        <f t="shared" si="17"/>
        <v>-702210600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232</v>
      </c>
      <c r="H159" s="99">
        <f t="shared" si="15"/>
        <v>0</v>
      </c>
      <c r="I159" s="99">
        <f t="shared" si="13"/>
        <v>-232116000</v>
      </c>
      <c r="J159" s="99">
        <f t="shared" si="16"/>
        <v>0</v>
      </c>
      <c r="K159" s="99">
        <f t="shared" si="17"/>
        <v>-232116000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228</v>
      </c>
      <c r="H160" s="99">
        <f t="shared" si="15"/>
        <v>0</v>
      </c>
      <c r="I160" s="99">
        <f t="shared" si="13"/>
        <v>-22800000</v>
      </c>
      <c r="J160" s="99">
        <f t="shared" si="16"/>
        <v>0</v>
      </c>
      <c r="K160" s="99">
        <f t="shared" si="17"/>
        <v>-22800000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227</v>
      </c>
      <c r="H161" s="99">
        <f t="shared" si="15"/>
        <v>0</v>
      </c>
      <c r="I161" s="99">
        <f t="shared" si="13"/>
        <v>-454000000</v>
      </c>
      <c r="J161" s="99">
        <f t="shared" si="16"/>
        <v>0</v>
      </c>
      <c r="K161" s="99">
        <f t="shared" si="17"/>
        <v>-454000000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227</v>
      </c>
      <c r="H162" s="99">
        <f t="shared" si="15"/>
        <v>0</v>
      </c>
      <c r="I162" s="99">
        <f t="shared" si="13"/>
        <v>-227113500</v>
      </c>
      <c r="J162" s="99">
        <f t="shared" si="16"/>
        <v>0</v>
      </c>
      <c r="K162" s="99">
        <f t="shared" si="17"/>
        <v>-227113500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224</v>
      </c>
      <c r="H163" s="99">
        <f t="shared" si="15"/>
        <v>0</v>
      </c>
      <c r="I163" s="99">
        <f t="shared" si="13"/>
        <v>-1120000</v>
      </c>
      <c r="J163" s="99">
        <f t="shared" si="16"/>
        <v>0</v>
      </c>
      <c r="K163" s="99">
        <f t="shared" si="17"/>
        <v>-1120000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214</v>
      </c>
      <c r="H164" s="99">
        <f t="shared" si="15"/>
        <v>1</v>
      </c>
      <c r="I164" s="99">
        <f t="shared" si="13"/>
        <v>639000000</v>
      </c>
      <c r="J164" s="99">
        <f t="shared" si="16"/>
        <v>0</v>
      </c>
      <c r="K164" s="99">
        <f t="shared" si="17"/>
        <v>639000000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213</v>
      </c>
      <c r="H165" s="99">
        <f t="shared" si="15"/>
        <v>1</v>
      </c>
      <c r="I165" s="99">
        <f t="shared" si="13"/>
        <v>636000000</v>
      </c>
      <c r="J165" s="99">
        <f t="shared" si="16"/>
        <v>0</v>
      </c>
      <c r="K165" s="99">
        <f t="shared" si="17"/>
        <v>636000000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212</v>
      </c>
      <c r="H166" s="99">
        <f t="shared" si="15"/>
        <v>1</v>
      </c>
      <c r="I166" s="99">
        <f t="shared" si="13"/>
        <v>4286254</v>
      </c>
      <c r="J166" s="99">
        <f t="shared" si="16"/>
        <v>12626662</v>
      </c>
      <c r="K166" s="99">
        <f t="shared" si="17"/>
        <v>-8340408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207</v>
      </c>
      <c r="H167" s="99">
        <f t="shared" si="15"/>
        <v>0</v>
      </c>
      <c r="I167" s="99">
        <f t="shared" si="13"/>
        <v>-621186300</v>
      </c>
      <c r="J167" s="99">
        <f t="shared" si="16"/>
        <v>0</v>
      </c>
      <c r="K167" s="99">
        <f t="shared" si="17"/>
        <v>-621186300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189</v>
      </c>
      <c r="H168" s="99">
        <f t="shared" si="15"/>
        <v>0</v>
      </c>
      <c r="I168" s="99">
        <f t="shared" si="13"/>
        <v>-567170100</v>
      </c>
      <c r="J168" s="99">
        <f t="shared" si="16"/>
        <v>0</v>
      </c>
      <c r="K168" s="99">
        <f t="shared" si="17"/>
        <v>-567170100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181</v>
      </c>
      <c r="H169" s="99">
        <f t="shared" si="15"/>
        <v>1</v>
      </c>
      <c r="I169" s="99">
        <f t="shared" si="13"/>
        <v>3906900</v>
      </c>
      <c r="J169" s="99">
        <f t="shared" si="16"/>
        <v>12332700</v>
      </c>
      <c r="K169" s="99">
        <f t="shared" si="17"/>
        <v>-8425800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157</v>
      </c>
      <c r="H170" s="99">
        <f t="shared" si="15"/>
        <v>1</v>
      </c>
      <c r="I170" s="99">
        <f t="shared" si="13"/>
        <v>780000000</v>
      </c>
      <c r="J170" s="99">
        <f t="shared" si="16"/>
        <v>0</v>
      </c>
      <c r="K170" s="99">
        <f t="shared" si="17"/>
        <v>780000000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156</v>
      </c>
      <c r="H171" s="99">
        <f t="shared" si="15"/>
        <v>0</v>
      </c>
      <c r="I171" s="99">
        <f t="shared" si="13"/>
        <v>-780000000</v>
      </c>
      <c r="J171" s="99">
        <f t="shared" si="16"/>
        <v>0</v>
      </c>
      <c r="K171" s="99">
        <f t="shared" si="17"/>
        <v>-780000000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150</v>
      </c>
      <c r="H172" s="99">
        <f t="shared" si="15"/>
        <v>1</v>
      </c>
      <c r="I172" s="99">
        <f t="shared" si="13"/>
        <v>73904</v>
      </c>
      <c r="J172" s="99">
        <f t="shared" si="16"/>
        <v>9339469</v>
      </c>
      <c r="K172" s="99">
        <f t="shared" si="17"/>
        <v>-9265565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149</v>
      </c>
      <c r="H173" s="99">
        <f t="shared" si="15"/>
        <v>1</v>
      </c>
      <c r="I173" s="99">
        <f t="shared" si="13"/>
        <v>116180000</v>
      </c>
      <c r="J173" s="99">
        <f t="shared" si="16"/>
        <v>0</v>
      </c>
      <c r="K173" s="99">
        <f t="shared" si="17"/>
        <v>116180000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138</v>
      </c>
      <c r="H174" s="99">
        <f t="shared" si="15"/>
        <v>0</v>
      </c>
      <c r="I174" s="99">
        <f t="shared" si="13"/>
        <v>-4416000</v>
      </c>
      <c r="J174" s="99">
        <f t="shared" si="16"/>
        <v>0</v>
      </c>
      <c r="K174" s="99">
        <f t="shared" si="17"/>
        <v>-4416000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136</v>
      </c>
      <c r="H175" s="99">
        <f t="shared" si="15"/>
        <v>0</v>
      </c>
      <c r="I175" s="99">
        <f t="shared" si="13"/>
        <v>-102000000</v>
      </c>
      <c r="J175" s="99">
        <f t="shared" si="16"/>
        <v>0</v>
      </c>
      <c r="K175" s="99">
        <f t="shared" si="17"/>
        <v>-102000000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127</v>
      </c>
      <c r="H176" s="99">
        <f t="shared" si="15"/>
        <v>0</v>
      </c>
      <c r="I176" s="99">
        <f t="shared" si="13"/>
        <v>-1193292</v>
      </c>
      <c r="J176" s="99">
        <f t="shared" si="16"/>
        <v>0</v>
      </c>
      <c r="K176" s="99">
        <f t="shared" si="17"/>
        <v>-1193292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126</v>
      </c>
      <c r="H177" s="99">
        <f t="shared" si="15"/>
        <v>0</v>
      </c>
      <c r="I177" s="99">
        <f t="shared" si="13"/>
        <v>-5455800</v>
      </c>
      <c r="J177" s="99">
        <f t="shared" si="16"/>
        <v>0</v>
      </c>
      <c r="K177" s="99">
        <f t="shared" si="17"/>
        <v>-5455800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123</v>
      </c>
      <c r="H178" s="99">
        <f t="shared" si="15"/>
        <v>1</v>
      </c>
      <c r="I178" s="99">
        <f t="shared" si="13"/>
        <v>43920000</v>
      </c>
      <c r="J178" s="99">
        <f t="shared" si="16"/>
        <v>0</v>
      </c>
      <c r="K178" s="99">
        <f t="shared" si="17"/>
        <v>43920000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121</v>
      </c>
      <c r="H179" s="99">
        <f t="shared" si="15"/>
        <v>1</v>
      </c>
      <c r="I179" s="99">
        <f t="shared" si="13"/>
        <v>360000000</v>
      </c>
      <c r="J179" s="99">
        <f t="shared" si="16"/>
        <v>0</v>
      </c>
      <c r="K179" s="99">
        <f t="shared" si="17"/>
        <v>360000000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121</v>
      </c>
      <c r="H180" s="99">
        <f t="shared" si="15"/>
        <v>0</v>
      </c>
      <c r="I180" s="99">
        <f t="shared" si="13"/>
        <v>-1458050</v>
      </c>
      <c r="J180" s="99">
        <f t="shared" si="16"/>
        <v>0</v>
      </c>
      <c r="K180" s="99">
        <f t="shared" si="17"/>
        <v>-1458050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119</v>
      </c>
      <c r="H181" s="99">
        <f t="shared" si="15"/>
        <v>1</v>
      </c>
      <c r="I181" s="99">
        <f t="shared" si="13"/>
        <v>354000000</v>
      </c>
      <c r="J181" s="99">
        <f t="shared" si="16"/>
        <v>0</v>
      </c>
      <c r="K181" s="99">
        <f t="shared" si="17"/>
        <v>354000000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117</v>
      </c>
      <c r="H182" s="99">
        <f t="shared" si="15"/>
        <v>0</v>
      </c>
      <c r="I182" s="99">
        <f t="shared" si="13"/>
        <v>-4188600</v>
      </c>
      <c r="J182" s="99">
        <f t="shared" si="16"/>
        <v>0</v>
      </c>
      <c r="K182" s="99">
        <f t="shared" si="17"/>
        <v>-4188600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116</v>
      </c>
      <c r="H183" s="99">
        <f t="shared" si="15"/>
        <v>1</v>
      </c>
      <c r="I183" s="99">
        <f t="shared" si="13"/>
        <v>414000000</v>
      </c>
      <c r="J183" s="99">
        <f t="shared" si="16"/>
        <v>0</v>
      </c>
      <c r="K183" s="99">
        <f t="shared" si="17"/>
        <v>414000000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116</v>
      </c>
      <c r="H184" s="99">
        <f t="shared" si="15"/>
        <v>0</v>
      </c>
      <c r="I184" s="99">
        <f t="shared" si="13"/>
        <v>-3871732</v>
      </c>
      <c r="J184" s="99">
        <f t="shared" si="16"/>
        <v>0</v>
      </c>
      <c r="K184" s="99">
        <f t="shared" si="17"/>
        <v>-3871732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113</v>
      </c>
      <c r="H185" s="99">
        <f t="shared" si="15"/>
        <v>0</v>
      </c>
      <c r="I185" s="99">
        <f t="shared" si="13"/>
        <v>-1107400000</v>
      </c>
      <c r="J185" s="99">
        <f t="shared" si="16"/>
        <v>0</v>
      </c>
      <c r="K185" s="99">
        <f t="shared" si="17"/>
        <v>-1107400000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113</v>
      </c>
      <c r="H186" s="99">
        <f t="shared" si="15"/>
        <v>1</v>
      </c>
      <c r="I186" s="99">
        <f t="shared" si="13"/>
        <v>2016000000</v>
      </c>
      <c r="J186" s="99">
        <f t="shared" si="16"/>
        <v>0</v>
      </c>
      <c r="K186" s="99">
        <f t="shared" si="17"/>
        <v>2016000000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113</v>
      </c>
      <c r="H187" s="99">
        <f t="shared" si="15"/>
        <v>0</v>
      </c>
      <c r="I187" s="99">
        <f t="shared" si="13"/>
        <v>-1017000000</v>
      </c>
      <c r="J187" s="99">
        <f t="shared" si="16"/>
        <v>0</v>
      </c>
      <c r="K187" s="99">
        <f t="shared" si="17"/>
        <v>-1017000000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113</v>
      </c>
      <c r="H188" s="99">
        <f t="shared" si="15"/>
        <v>0</v>
      </c>
      <c r="I188" s="99">
        <f t="shared" si="13"/>
        <v>-1310800</v>
      </c>
      <c r="J188" s="99">
        <f t="shared" si="16"/>
        <v>0</v>
      </c>
      <c r="K188" s="99">
        <f t="shared" si="17"/>
        <v>-1310800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113</v>
      </c>
      <c r="H189" s="99">
        <f t="shared" si="15"/>
        <v>0</v>
      </c>
      <c r="I189" s="99">
        <f t="shared" si="13"/>
        <v>-373388951</v>
      </c>
      <c r="J189" s="99">
        <f t="shared" si="16"/>
        <v>0</v>
      </c>
      <c r="K189" s="99">
        <f t="shared" si="17"/>
        <v>-373388951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112</v>
      </c>
      <c r="H190" s="99">
        <f t="shared" si="15"/>
        <v>0</v>
      </c>
      <c r="I190" s="99">
        <f t="shared" si="13"/>
        <v>-336100800</v>
      </c>
      <c r="J190" s="99">
        <f t="shared" si="16"/>
        <v>0</v>
      </c>
      <c r="K190" s="99">
        <f t="shared" si="17"/>
        <v>-336100800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111</v>
      </c>
      <c r="H191" s="99">
        <f t="shared" si="15"/>
        <v>0</v>
      </c>
      <c r="I191" s="99">
        <f t="shared" si="13"/>
        <v>-306459900</v>
      </c>
      <c r="J191" s="99">
        <f t="shared" si="16"/>
        <v>0</v>
      </c>
      <c r="K191" s="99">
        <f t="shared" si="17"/>
        <v>-306459900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106</v>
      </c>
      <c r="H192" s="99">
        <f t="shared" si="15"/>
        <v>1</v>
      </c>
      <c r="I192" s="99">
        <f t="shared" si="13"/>
        <v>105000000</v>
      </c>
      <c r="J192" s="99">
        <f t="shared" si="16"/>
        <v>0</v>
      </c>
      <c r="K192" s="99">
        <f t="shared" si="17"/>
        <v>105000000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105</v>
      </c>
      <c r="H193" s="99">
        <f t="shared" si="15"/>
        <v>0</v>
      </c>
      <c r="I193" s="99">
        <f t="shared" si="13"/>
        <v>-1575000</v>
      </c>
      <c r="J193" s="99">
        <f t="shared" si="16"/>
        <v>0</v>
      </c>
      <c r="K193" s="99">
        <f t="shared" si="17"/>
        <v>-1575000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103</v>
      </c>
      <c r="H194" s="99">
        <f t="shared" si="15"/>
        <v>0</v>
      </c>
      <c r="I194" s="99">
        <f t="shared" si="13"/>
        <v>-101970000</v>
      </c>
      <c r="J194" s="99">
        <f t="shared" si="16"/>
        <v>0</v>
      </c>
      <c r="K194" s="99">
        <f t="shared" si="17"/>
        <v>-101970000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103</v>
      </c>
      <c r="H195" s="99">
        <f t="shared" si="15"/>
        <v>1</v>
      </c>
      <c r="I195" s="99">
        <f t="shared" si="13"/>
        <v>79866000</v>
      </c>
      <c r="J195" s="99">
        <f t="shared" si="16"/>
        <v>0</v>
      </c>
      <c r="K195" s="99">
        <f t="shared" si="17"/>
        <v>79866000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101</v>
      </c>
      <c r="H196" s="99">
        <f t="shared" si="15"/>
        <v>0</v>
      </c>
      <c r="I196" s="99">
        <f t="shared" si="13"/>
        <v>-75800500</v>
      </c>
      <c r="J196" s="99">
        <f t="shared" si="16"/>
        <v>0</v>
      </c>
      <c r="K196" s="99">
        <f t="shared" si="17"/>
        <v>-75800500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99</v>
      </c>
      <c r="H197" s="99">
        <f t="shared" si="15"/>
        <v>1</v>
      </c>
      <c r="I197" s="99">
        <f t="shared" si="13"/>
        <v>68600000</v>
      </c>
      <c r="J197" s="99">
        <f t="shared" si="16"/>
        <v>0</v>
      </c>
      <c r="K197" s="99">
        <f t="shared" si="17"/>
        <v>68600000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99</v>
      </c>
      <c r="H198" s="99">
        <f t="shared" si="15"/>
        <v>0</v>
      </c>
      <c r="I198" s="99">
        <f t="shared" si="13"/>
        <v>-9801000</v>
      </c>
      <c r="J198" s="99">
        <f t="shared" si="16"/>
        <v>0</v>
      </c>
      <c r="K198" s="99">
        <f t="shared" si="17"/>
        <v>-9801000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98</v>
      </c>
      <c r="H199" s="99">
        <f t="shared" si="15"/>
        <v>0</v>
      </c>
      <c r="I199" s="99">
        <f t="shared" si="13"/>
        <v>-20163500</v>
      </c>
      <c r="J199" s="99">
        <f t="shared" si="16"/>
        <v>0</v>
      </c>
      <c r="K199" s="99">
        <f t="shared" si="17"/>
        <v>-20163500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98</v>
      </c>
      <c r="H200" s="99">
        <f t="shared" si="15"/>
        <v>0</v>
      </c>
      <c r="I200" s="99">
        <f t="shared" si="13"/>
        <v>-9310000</v>
      </c>
      <c r="J200" s="99">
        <f t="shared" si="16"/>
        <v>0</v>
      </c>
      <c r="K200" s="99">
        <f t="shared" si="17"/>
        <v>-9310000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95</v>
      </c>
      <c r="H201" s="99">
        <f t="shared" si="15"/>
        <v>1</v>
      </c>
      <c r="I201" s="99">
        <f t="shared" si="13"/>
        <v>4573100000</v>
      </c>
      <c r="J201" s="99">
        <f t="shared" si="16"/>
        <v>0</v>
      </c>
      <c r="K201" s="99">
        <f t="shared" si="17"/>
        <v>4573100000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95</v>
      </c>
      <c r="H202" s="99">
        <f t="shared" si="15"/>
        <v>0</v>
      </c>
      <c r="I202" s="99">
        <f t="shared" si="13"/>
        <v>-285085500</v>
      </c>
      <c r="J202" s="99">
        <f t="shared" si="16"/>
        <v>0</v>
      </c>
      <c r="K202" s="99">
        <f t="shared" si="17"/>
        <v>-285085500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95</v>
      </c>
      <c r="H203" s="99">
        <f t="shared" si="15"/>
        <v>0</v>
      </c>
      <c r="I203" s="99">
        <f t="shared" si="13"/>
        <v>-475000</v>
      </c>
      <c r="J203" s="99">
        <f t="shared" si="16"/>
        <v>0</v>
      </c>
      <c r="K203" s="99">
        <f t="shared" si="17"/>
        <v>-475000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95</v>
      </c>
      <c r="H204" s="99">
        <f t="shared" si="15"/>
        <v>0</v>
      </c>
      <c r="I204" s="99">
        <f t="shared" si="13"/>
        <v>-3182500000</v>
      </c>
      <c r="J204" s="99">
        <f t="shared" si="16"/>
        <v>0</v>
      </c>
      <c r="K204" s="99">
        <f t="shared" si="17"/>
        <v>-3182500000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9" si="19">G206+F205</f>
        <v>94</v>
      </c>
      <c r="H205" s="99">
        <f t="shared" si="15"/>
        <v>0</v>
      </c>
      <c r="I205" s="99">
        <f t="shared" si="13"/>
        <v>-1168890000</v>
      </c>
      <c r="J205" s="99">
        <f t="shared" si="16"/>
        <v>0</v>
      </c>
      <c r="K205" s="99">
        <f t="shared" si="17"/>
        <v>-1168890000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91</v>
      </c>
      <c r="H206" s="99">
        <f t="shared" si="15"/>
        <v>0</v>
      </c>
      <c r="I206" s="99">
        <f t="shared" si="13"/>
        <v>-1683500</v>
      </c>
      <c r="J206" s="99">
        <f t="shared" si="16"/>
        <v>0</v>
      </c>
      <c r="K206" s="99">
        <f t="shared" si="17"/>
        <v>-1683500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89</v>
      </c>
      <c r="H207" s="99">
        <f t="shared" si="15"/>
        <v>1</v>
      </c>
      <c r="I207" s="99">
        <f t="shared" si="13"/>
        <v>1274240</v>
      </c>
      <c r="J207" s="99">
        <f t="shared" ref="J207:J269" si="20">C207*(G207-H207)</f>
        <v>6236912</v>
      </c>
      <c r="K207" s="99">
        <f t="shared" si="17"/>
        <v>-4962672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88</v>
      </c>
      <c r="H208" s="99">
        <f t="shared" si="15"/>
        <v>1</v>
      </c>
      <c r="I208" s="99">
        <f t="shared" si="13"/>
        <v>72210000</v>
      </c>
      <c r="J208" s="99">
        <f t="shared" si="20"/>
        <v>0</v>
      </c>
      <c r="K208" s="99">
        <f t="shared" si="17"/>
        <v>72210000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86</v>
      </c>
      <c r="H209" s="99">
        <f t="shared" si="15"/>
        <v>0</v>
      </c>
      <c r="I209" s="99">
        <f t="shared" si="13"/>
        <v>-4509840</v>
      </c>
      <c r="J209" s="99">
        <f t="shared" si="20"/>
        <v>0</v>
      </c>
      <c r="K209" s="99">
        <f t="shared" si="17"/>
        <v>-4509840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85</v>
      </c>
      <c r="H210" s="99">
        <f t="shared" si="15"/>
        <v>0</v>
      </c>
      <c r="I210" s="99">
        <f t="shared" si="13"/>
        <v>-4343500</v>
      </c>
      <c r="J210" s="99">
        <f t="shared" si="20"/>
        <v>0</v>
      </c>
      <c r="K210" s="99">
        <f t="shared" si="17"/>
        <v>-4343500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84</v>
      </c>
      <c r="H211" s="99">
        <f t="shared" si="15"/>
        <v>0</v>
      </c>
      <c r="I211" s="99">
        <f t="shared" si="13"/>
        <v>-16800000</v>
      </c>
      <c r="J211" s="99">
        <f t="shared" si="20"/>
        <v>0</v>
      </c>
      <c r="K211" s="99">
        <f t="shared" si="17"/>
        <v>-16800000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83</v>
      </c>
      <c r="H212" s="99">
        <f t="shared" si="15"/>
        <v>0</v>
      </c>
      <c r="I212" s="99">
        <f t="shared" si="13"/>
        <v>-2324000</v>
      </c>
      <c r="J212" s="99">
        <f t="shared" si="20"/>
        <v>0</v>
      </c>
      <c r="K212" s="99">
        <f t="shared" si="17"/>
        <v>-2324000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82</v>
      </c>
      <c r="H213" s="99">
        <f t="shared" si="15"/>
        <v>0</v>
      </c>
      <c r="I213" s="99">
        <f t="shared" si="13"/>
        <v>-4846200</v>
      </c>
      <c r="J213" s="99">
        <f t="shared" si="20"/>
        <v>0</v>
      </c>
      <c r="K213" s="99">
        <f t="shared" si="17"/>
        <v>-4846200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81</v>
      </c>
      <c r="H214" s="99">
        <f t="shared" si="15"/>
        <v>0</v>
      </c>
      <c r="I214" s="99">
        <f t="shared" si="13"/>
        <v>-2430000</v>
      </c>
      <c r="J214" s="99">
        <f t="shared" si="20"/>
        <v>0</v>
      </c>
      <c r="K214" s="99">
        <f t="shared" si="17"/>
        <v>-2430000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81</v>
      </c>
      <c r="H215" s="99">
        <f t="shared" si="15"/>
        <v>0</v>
      </c>
      <c r="I215" s="99">
        <f t="shared" si="13"/>
        <v>-14418000</v>
      </c>
      <c r="J215" s="99">
        <f t="shared" si="20"/>
        <v>0</v>
      </c>
      <c r="K215" s="99">
        <f t="shared" si="17"/>
        <v>-14418000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80</v>
      </c>
      <c r="H216" s="99">
        <f t="shared" si="15"/>
        <v>0</v>
      </c>
      <c r="I216" s="99">
        <f t="shared" si="13"/>
        <v>-7648800</v>
      </c>
      <c r="J216" s="99">
        <f t="shared" si="20"/>
        <v>0</v>
      </c>
      <c r="K216" s="99">
        <f t="shared" si="17"/>
        <v>-7648800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77</v>
      </c>
      <c r="H217" s="99">
        <f t="shared" si="15"/>
        <v>0</v>
      </c>
      <c r="I217" s="99">
        <f t="shared" si="13"/>
        <v>-6468000</v>
      </c>
      <c r="J217" s="99">
        <f t="shared" si="20"/>
        <v>0</v>
      </c>
      <c r="K217" s="99">
        <f t="shared" si="17"/>
        <v>-6468000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8" si="21">G219+F218</f>
        <v>75</v>
      </c>
      <c r="H218" s="99">
        <f t="shared" si="15"/>
        <v>0</v>
      </c>
      <c r="I218" s="99">
        <f t="shared" si="13"/>
        <v>-2475000</v>
      </c>
      <c r="J218" s="99">
        <f t="shared" si="20"/>
        <v>0</v>
      </c>
      <c r="K218" s="99">
        <f t="shared" si="17"/>
        <v>-2475000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72</v>
      </c>
      <c r="H219" s="99">
        <f t="shared" si="15"/>
        <v>1</v>
      </c>
      <c r="I219" s="99">
        <f t="shared" si="13"/>
        <v>109908000</v>
      </c>
      <c r="J219" s="99">
        <f t="shared" si="20"/>
        <v>0</v>
      </c>
      <c r="K219" s="99">
        <f t="shared" si="17"/>
        <v>109908000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71</v>
      </c>
      <c r="H220" s="99">
        <f t="shared" si="15"/>
        <v>0</v>
      </c>
      <c r="I220" s="99">
        <f t="shared" si="13"/>
        <v>-99449700</v>
      </c>
      <c r="J220" s="99">
        <f t="shared" si="20"/>
        <v>0</v>
      </c>
      <c r="K220" s="99">
        <f t="shared" si="17"/>
        <v>-99449700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71</v>
      </c>
      <c r="H221" s="99">
        <f t="shared" si="15"/>
        <v>0</v>
      </c>
      <c r="I221" s="99">
        <f t="shared" si="13"/>
        <v>-710000</v>
      </c>
      <c r="J221" s="99">
        <f t="shared" si="20"/>
        <v>0</v>
      </c>
      <c r="K221" s="99">
        <f t="shared" si="17"/>
        <v>-710000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71</v>
      </c>
      <c r="H222" s="99">
        <f t="shared" si="15"/>
        <v>0</v>
      </c>
      <c r="I222" s="99">
        <f t="shared" si="13"/>
        <v>-355000</v>
      </c>
      <c r="J222" s="99">
        <f t="shared" si="20"/>
        <v>-177500</v>
      </c>
      <c r="K222" s="99">
        <f t="shared" si="17"/>
        <v>-177500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65</v>
      </c>
      <c r="H223" s="99">
        <f t="shared" si="15"/>
        <v>0</v>
      </c>
      <c r="I223" s="99">
        <f t="shared" si="13"/>
        <v>-12350000</v>
      </c>
      <c r="J223" s="99">
        <f t="shared" si="20"/>
        <v>0</v>
      </c>
      <c r="K223" s="99">
        <f t="shared" si="17"/>
        <v>-12350000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58</v>
      </c>
      <c r="H224" s="99">
        <f t="shared" si="15"/>
        <v>1</v>
      </c>
      <c r="I224" s="99">
        <f t="shared" si="13"/>
        <v>108927</v>
      </c>
      <c r="J224" s="99">
        <f t="shared" si="20"/>
        <v>3703404</v>
      </c>
      <c r="K224" s="99">
        <f t="shared" si="17"/>
        <v>-3594477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52</v>
      </c>
      <c r="H225" s="99">
        <f t="shared" si="15"/>
        <v>1</v>
      </c>
      <c r="I225" s="99">
        <f t="shared" si="13"/>
        <v>255000000</v>
      </c>
      <c r="J225" s="99">
        <f t="shared" si="20"/>
        <v>0</v>
      </c>
      <c r="K225" s="99">
        <f t="shared" si="17"/>
        <v>255000000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4334</v>
      </c>
      <c r="F226" s="99">
        <v>0</v>
      </c>
      <c r="G226" s="36">
        <f t="shared" si="21"/>
        <v>51</v>
      </c>
      <c r="H226" s="99">
        <f t="shared" si="15"/>
        <v>0</v>
      </c>
      <c r="I226" s="99">
        <f t="shared" si="13"/>
        <v>-163200000</v>
      </c>
      <c r="J226" s="99">
        <f t="shared" si="20"/>
        <v>0</v>
      </c>
      <c r="K226" s="99">
        <f t="shared" si="17"/>
        <v>-163200000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51</v>
      </c>
      <c r="H227" s="99">
        <f t="shared" si="15"/>
        <v>1</v>
      </c>
      <c r="I227" s="99">
        <f t="shared" si="13"/>
        <v>120000000</v>
      </c>
      <c r="J227" s="99">
        <f t="shared" si="20"/>
        <v>0</v>
      </c>
      <c r="K227" s="99">
        <f t="shared" si="17"/>
        <v>120000000</v>
      </c>
    </row>
    <row r="228" spans="1:13">
      <c r="A228" s="99" t="s">
        <v>4350</v>
      </c>
      <c r="B228" s="18">
        <v>-50000</v>
      </c>
      <c r="C228" s="18">
        <v>0</v>
      </c>
      <c r="D228" s="18">
        <f t="shared" si="18"/>
        <v>-50000</v>
      </c>
      <c r="E228" s="99" t="s">
        <v>4354</v>
      </c>
      <c r="F228" s="99">
        <v>1</v>
      </c>
      <c r="G228" s="36">
        <f t="shared" si="21"/>
        <v>49</v>
      </c>
      <c r="H228" s="99">
        <f t="shared" si="15"/>
        <v>0</v>
      </c>
      <c r="I228" s="99">
        <f t="shared" si="13"/>
        <v>-2450000</v>
      </c>
      <c r="J228" s="99">
        <f t="shared" si="20"/>
        <v>0</v>
      </c>
      <c r="K228" s="99">
        <f t="shared" si="17"/>
        <v>-2450000</v>
      </c>
    </row>
    <row r="229" spans="1:13">
      <c r="A229" s="99" t="s">
        <v>4344</v>
      </c>
      <c r="B229" s="18">
        <v>-4100700</v>
      </c>
      <c r="C229" s="18">
        <v>0</v>
      </c>
      <c r="D229" s="18">
        <f t="shared" si="18"/>
        <v>-4100700</v>
      </c>
      <c r="E229" s="99" t="s">
        <v>4355</v>
      </c>
      <c r="F229" s="99">
        <v>4</v>
      </c>
      <c r="G229" s="36">
        <f t="shared" si="21"/>
        <v>48</v>
      </c>
      <c r="H229" s="99">
        <f t="shared" si="15"/>
        <v>0</v>
      </c>
      <c r="I229" s="99">
        <f t="shared" si="13"/>
        <v>-196833600</v>
      </c>
      <c r="J229" s="99">
        <f t="shared" si="20"/>
        <v>0</v>
      </c>
      <c r="K229" s="99">
        <f t="shared" si="17"/>
        <v>-196833600</v>
      </c>
    </row>
    <row r="230" spans="1:13">
      <c r="A230" s="99" t="s">
        <v>4363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44</v>
      </c>
      <c r="H230" s="99">
        <f t="shared" si="15"/>
        <v>1</v>
      </c>
      <c r="I230" s="99">
        <f t="shared" si="13"/>
        <v>417100000</v>
      </c>
      <c r="J230" s="99">
        <f t="shared" si="20"/>
        <v>0</v>
      </c>
      <c r="K230" s="99">
        <f t="shared" si="17"/>
        <v>417100000</v>
      </c>
    </row>
    <row r="231" spans="1:13">
      <c r="A231" s="99" t="s">
        <v>4363</v>
      </c>
      <c r="B231" s="18">
        <v>-3000900</v>
      </c>
      <c r="C231" s="18">
        <v>0</v>
      </c>
      <c r="D231" s="18">
        <f t="shared" si="18"/>
        <v>-3000900</v>
      </c>
      <c r="E231" s="99" t="s">
        <v>4371</v>
      </c>
      <c r="F231" s="99">
        <v>1</v>
      </c>
      <c r="G231" s="36">
        <f t="shared" si="21"/>
        <v>44</v>
      </c>
      <c r="H231" s="99">
        <f t="shared" si="15"/>
        <v>0</v>
      </c>
      <c r="I231" s="99">
        <f t="shared" si="13"/>
        <v>-132039600</v>
      </c>
      <c r="J231" s="99">
        <f t="shared" si="20"/>
        <v>0</v>
      </c>
      <c r="K231" s="99">
        <f t="shared" si="17"/>
        <v>-132039600</v>
      </c>
    </row>
    <row r="232" spans="1:13">
      <c r="A232" s="99" t="s">
        <v>4364</v>
      </c>
      <c r="B232" s="18">
        <v>-3000900</v>
      </c>
      <c r="C232" s="18">
        <v>0</v>
      </c>
      <c r="D232" s="18">
        <f t="shared" si="18"/>
        <v>-3000900</v>
      </c>
      <c r="E232" s="99" t="s">
        <v>4371</v>
      </c>
      <c r="F232" s="99">
        <v>0</v>
      </c>
      <c r="G232" s="36">
        <f t="shared" si="21"/>
        <v>43</v>
      </c>
      <c r="H232" s="99">
        <f t="shared" si="15"/>
        <v>0</v>
      </c>
      <c r="I232" s="99">
        <f t="shared" si="13"/>
        <v>-129038700</v>
      </c>
      <c r="J232" s="99">
        <f t="shared" si="20"/>
        <v>0</v>
      </c>
      <c r="K232" s="99">
        <f t="shared" si="17"/>
        <v>-129038700</v>
      </c>
    </row>
    <row r="233" spans="1:13">
      <c r="A233" s="99" t="s">
        <v>4364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43</v>
      </c>
      <c r="H233" s="99">
        <f t="shared" si="15"/>
        <v>0</v>
      </c>
      <c r="I233" s="99">
        <f t="shared" si="13"/>
        <v>-23865000</v>
      </c>
      <c r="J233" s="99">
        <f t="shared" si="20"/>
        <v>0</v>
      </c>
      <c r="K233" s="99">
        <f t="shared" si="17"/>
        <v>-23865000</v>
      </c>
    </row>
    <row r="234" spans="1:13">
      <c r="A234" s="99" t="s">
        <v>4383</v>
      </c>
      <c r="B234" s="18">
        <v>-138360</v>
      </c>
      <c r="C234" s="18">
        <v>0</v>
      </c>
      <c r="D234" s="18">
        <f t="shared" si="18"/>
        <v>-138360</v>
      </c>
      <c r="E234" s="99" t="s">
        <v>4385</v>
      </c>
      <c r="F234" s="99">
        <v>1</v>
      </c>
      <c r="G234" s="36">
        <f t="shared" si="21"/>
        <v>42</v>
      </c>
      <c r="H234" s="99">
        <f t="shared" si="15"/>
        <v>0</v>
      </c>
      <c r="I234" s="99">
        <f t="shared" si="13"/>
        <v>-5811120</v>
      </c>
      <c r="J234" s="99">
        <f t="shared" si="20"/>
        <v>0</v>
      </c>
      <c r="K234" s="99">
        <f t="shared" si="17"/>
        <v>-5811120</v>
      </c>
    </row>
    <row r="235" spans="1:13">
      <c r="A235" s="99" t="s">
        <v>4386</v>
      </c>
      <c r="B235" s="18">
        <v>-3000900</v>
      </c>
      <c r="C235" s="18">
        <v>0</v>
      </c>
      <c r="D235" s="18">
        <f t="shared" si="18"/>
        <v>-3000900</v>
      </c>
      <c r="E235" s="99" t="s">
        <v>4371</v>
      </c>
      <c r="F235" s="99">
        <v>2</v>
      </c>
      <c r="G235" s="36">
        <f t="shared" si="21"/>
        <v>41</v>
      </c>
      <c r="H235" s="99">
        <f t="shared" si="15"/>
        <v>0</v>
      </c>
      <c r="I235" s="99">
        <f t="shared" si="13"/>
        <v>-123036900</v>
      </c>
      <c r="J235" s="99">
        <f t="shared" si="20"/>
        <v>0</v>
      </c>
      <c r="K235" s="99">
        <f t="shared" si="17"/>
        <v>-123036900</v>
      </c>
      <c r="M235" t="s">
        <v>25</v>
      </c>
    </row>
    <row r="236" spans="1:13">
      <c r="A236" s="99" t="s">
        <v>4392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39</v>
      </c>
      <c r="H236" s="99">
        <f t="shared" si="15"/>
        <v>0</v>
      </c>
      <c r="I236" s="99">
        <f t="shared" si="13"/>
        <v>-2145000</v>
      </c>
      <c r="J236" s="99">
        <f t="shared" si="20"/>
        <v>0</v>
      </c>
      <c r="K236" s="99">
        <f t="shared" si="17"/>
        <v>-2145000</v>
      </c>
    </row>
    <row r="237" spans="1:13">
      <c r="A237" s="99" t="s">
        <v>4409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35</v>
      </c>
      <c r="H237" s="99">
        <f t="shared" si="15"/>
        <v>1</v>
      </c>
      <c r="I237" s="99">
        <f t="shared" si="13"/>
        <v>205190000</v>
      </c>
      <c r="J237" s="99">
        <f t="shared" si="20"/>
        <v>0</v>
      </c>
      <c r="K237" s="99">
        <f t="shared" si="17"/>
        <v>205190000</v>
      </c>
    </row>
    <row r="238" spans="1:13">
      <c r="A238" s="99" t="s">
        <v>4416</v>
      </c>
      <c r="B238" s="18">
        <v>-7500</v>
      </c>
      <c r="C238" s="18">
        <v>0</v>
      </c>
      <c r="D238" s="18">
        <f t="shared" si="18"/>
        <v>-7500</v>
      </c>
      <c r="E238" s="99" t="s">
        <v>4417</v>
      </c>
      <c r="F238" s="99">
        <v>1</v>
      </c>
      <c r="G238" s="36">
        <f t="shared" si="21"/>
        <v>33</v>
      </c>
      <c r="H238" s="99">
        <f t="shared" si="15"/>
        <v>0</v>
      </c>
      <c r="I238" s="99">
        <f t="shared" si="13"/>
        <v>-247500</v>
      </c>
      <c r="J238" s="99">
        <f t="shared" si="20"/>
        <v>0</v>
      </c>
      <c r="K238" s="99">
        <f t="shared" si="17"/>
        <v>-247500</v>
      </c>
    </row>
    <row r="239" spans="1:13">
      <c r="A239" s="99" t="s">
        <v>4418</v>
      </c>
      <c r="B239" s="18">
        <v>-4098523</v>
      </c>
      <c r="C239" s="18">
        <v>0</v>
      </c>
      <c r="D239" s="18">
        <f t="shared" si="18"/>
        <v>-4098523</v>
      </c>
      <c r="E239" s="99" t="s">
        <v>4419</v>
      </c>
      <c r="F239" s="99">
        <v>0</v>
      </c>
      <c r="G239" s="36">
        <f t="shared" si="21"/>
        <v>32</v>
      </c>
      <c r="H239" s="99">
        <f t="shared" si="15"/>
        <v>0</v>
      </c>
      <c r="I239" s="99">
        <f t="shared" si="13"/>
        <v>-131152736</v>
      </c>
      <c r="J239" s="99">
        <f t="shared" si="20"/>
        <v>0</v>
      </c>
      <c r="K239" s="99">
        <f t="shared" si="17"/>
        <v>-131152736</v>
      </c>
    </row>
    <row r="240" spans="1:13">
      <c r="A240" s="99" t="s">
        <v>4420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32</v>
      </c>
      <c r="H240" s="99">
        <f t="shared" si="15"/>
        <v>0</v>
      </c>
      <c r="I240" s="99">
        <f t="shared" si="13"/>
        <v>-1063200</v>
      </c>
      <c r="J240" s="99">
        <f t="shared" si="20"/>
        <v>0</v>
      </c>
      <c r="K240" s="99">
        <f t="shared" si="17"/>
        <v>-1063200</v>
      </c>
    </row>
    <row r="241" spans="1:13">
      <c r="A241" s="99" t="s">
        <v>4420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32</v>
      </c>
      <c r="H241" s="99">
        <f t="shared" si="15"/>
        <v>0</v>
      </c>
      <c r="I241" s="99">
        <f t="shared" si="13"/>
        <v>-60640000</v>
      </c>
      <c r="J241" s="99">
        <f t="shared" si="20"/>
        <v>0</v>
      </c>
      <c r="K241" s="99">
        <f t="shared" si="17"/>
        <v>-60640000</v>
      </c>
    </row>
    <row r="242" spans="1:13">
      <c r="A242" s="99" t="s">
        <v>4456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25</v>
      </c>
      <c r="H242" s="99">
        <f t="shared" si="15"/>
        <v>1</v>
      </c>
      <c r="I242" s="99">
        <f t="shared" si="13"/>
        <v>60000000</v>
      </c>
      <c r="J242" s="99">
        <f t="shared" si="20"/>
        <v>0</v>
      </c>
      <c r="K242" s="99">
        <f t="shared" si="17"/>
        <v>60000000</v>
      </c>
    </row>
    <row r="243" spans="1:13">
      <c r="A243" s="99" t="s">
        <v>4458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23</v>
      </c>
      <c r="H243" s="99">
        <f t="shared" si="15"/>
        <v>0</v>
      </c>
      <c r="I243" s="99">
        <f t="shared" si="13"/>
        <v>-57500000</v>
      </c>
      <c r="J243" s="99">
        <f t="shared" si="20"/>
        <v>0</v>
      </c>
      <c r="K243" s="99">
        <f t="shared" si="17"/>
        <v>-57500000</v>
      </c>
    </row>
    <row r="244" spans="1:13">
      <c r="A244" s="99" t="s">
        <v>4463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21</v>
      </c>
      <c r="H244" s="99">
        <f t="shared" si="15"/>
        <v>1</v>
      </c>
      <c r="I244" s="99">
        <f t="shared" si="13"/>
        <v>22000000</v>
      </c>
      <c r="J244" s="99">
        <f t="shared" si="20"/>
        <v>0</v>
      </c>
      <c r="K244" s="99">
        <f t="shared" si="17"/>
        <v>22000000</v>
      </c>
    </row>
    <row r="245" spans="1:13">
      <c r="A245" s="99" t="s">
        <v>4470</v>
      </c>
      <c r="B245" s="18">
        <v>3000000</v>
      </c>
      <c r="C245" s="18">
        <v>0</v>
      </c>
      <c r="D245" s="18">
        <f t="shared" si="18"/>
        <v>3000000</v>
      </c>
      <c r="E245" s="99" t="s">
        <v>4472</v>
      </c>
      <c r="F245" s="99">
        <v>2</v>
      </c>
      <c r="G245" s="36">
        <f t="shared" si="21"/>
        <v>19</v>
      </c>
      <c r="H245" s="99">
        <f t="shared" si="15"/>
        <v>1</v>
      </c>
      <c r="I245" s="99">
        <f t="shared" si="13"/>
        <v>54000000</v>
      </c>
      <c r="J245" s="99">
        <f t="shared" si="20"/>
        <v>0</v>
      </c>
      <c r="K245" s="99">
        <f t="shared" si="17"/>
        <v>54000000</v>
      </c>
    </row>
    <row r="246" spans="1:13">
      <c r="A246" s="99" t="s">
        <v>4462</v>
      </c>
      <c r="B246" s="18">
        <v>-4040700</v>
      </c>
      <c r="C246" s="18">
        <v>0</v>
      </c>
      <c r="D246" s="18">
        <f t="shared" si="18"/>
        <v>-4040700</v>
      </c>
      <c r="E246" s="99" t="s">
        <v>4506</v>
      </c>
      <c r="F246" s="99">
        <v>0</v>
      </c>
      <c r="G246" s="36">
        <f t="shared" si="21"/>
        <v>17</v>
      </c>
      <c r="H246" s="99">
        <f t="shared" si="15"/>
        <v>0</v>
      </c>
      <c r="I246" s="99">
        <f t="shared" si="13"/>
        <v>-68691900</v>
      </c>
      <c r="J246" s="99">
        <f t="shared" si="20"/>
        <v>0</v>
      </c>
      <c r="K246" s="99">
        <f t="shared" si="17"/>
        <v>-68691900</v>
      </c>
    </row>
    <row r="247" spans="1:13">
      <c r="A247" s="99" t="s">
        <v>4462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17</v>
      </c>
      <c r="H247" s="99">
        <f t="shared" si="15"/>
        <v>1</v>
      </c>
      <c r="I247" s="99">
        <f t="shared" si="13"/>
        <v>7840000</v>
      </c>
      <c r="J247" s="99">
        <f t="shared" si="20"/>
        <v>0</v>
      </c>
      <c r="K247" s="99">
        <f t="shared" si="17"/>
        <v>7840000</v>
      </c>
    </row>
    <row r="248" spans="1:13">
      <c r="A248" s="99" t="s">
        <v>4511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16</v>
      </c>
      <c r="H248" s="99">
        <f t="shared" si="15"/>
        <v>1</v>
      </c>
      <c r="I248" s="99">
        <f t="shared" si="13"/>
        <v>21000000</v>
      </c>
      <c r="J248" s="99">
        <f t="shared" si="20"/>
        <v>0</v>
      </c>
      <c r="K248" s="99">
        <f t="shared" si="17"/>
        <v>21000000</v>
      </c>
      <c r="M248" t="s">
        <v>25</v>
      </c>
    </row>
    <row r="249" spans="1:13">
      <c r="A249" s="99" t="s">
        <v>4511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16</v>
      </c>
      <c r="H249" s="99">
        <f t="shared" si="15"/>
        <v>0</v>
      </c>
      <c r="I249" s="99">
        <f t="shared" si="13"/>
        <v>-24000000</v>
      </c>
      <c r="J249" s="99">
        <f t="shared" si="20"/>
        <v>0</v>
      </c>
      <c r="K249" s="99">
        <f t="shared" si="17"/>
        <v>-24000000</v>
      </c>
    </row>
    <row r="250" spans="1:13">
      <c r="A250" s="99" t="s">
        <v>4520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15</v>
      </c>
      <c r="H250" s="99">
        <f t="shared" si="15"/>
        <v>0</v>
      </c>
      <c r="I250" s="99">
        <f t="shared" si="13"/>
        <v>-1500000</v>
      </c>
      <c r="J250" s="99">
        <f t="shared" si="20"/>
        <v>0</v>
      </c>
      <c r="K250" s="99">
        <f t="shared" si="17"/>
        <v>-1500000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14</v>
      </c>
      <c r="H251" s="99">
        <f t="shared" si="15"/>
        <v>0</v>
      </c>
      <c r="I251" s="99">
        <f t="shared" si="13"/>
        <v>-194600</v>
      </c>
      <c r="J251" s="99">
        <f t="shared" si="20"/>
        <v>0</v>
      </c>
      <c r="K251" s="99">
        <f t="shared" si="17"/>
        <v>-194600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14</v>
      </c>
      <c r="H252" s="99">
        <f t="shared" si="15"/>
        <v>1</v>
      </c>
      <c r="I252" s="99">
        <f t="shared" si="13"/>
        <v>3900000</v>
      </c>
      <c r="J252" s="99">
        <f t="shared" si="20"/>
        <v>0</v>
      </c>
      <c r="K252" s="99">
        <f t="shared" si="17"/>
        <v>3900000</v>
      </c>
    </row>
    <row r="253" spans="1:13">
      <c r="A253" s="99" t="s">
        <v>4531</v>
      </c>
      <c r="B253" s="18">
        <v>12000000</v>
      </c>
      <c r="C253" s="18">
        <v>0</v>
      </c>
      <c r="D253" s="18">
        <f t="shared" si="18"/>
        <v>12000000</v>
      </c>
      <c r="E253" s="99" t="s">
        <v>4532</v>
      </c>
      <c r="F253" s="99">
        <v>1</v>
      </c>
      <c r="G253" s="36">
        <f t="shared" si="21"/>
        <v>12</v>
      </c>
      <c r="H253" s="99">
        <f t="shared" si="15"/>
        <v>1</v>
      </c>
      <c r="I253" s="99">
        <f t="shared" si="13"/>
        <v>132000000</v>
      </c>
      <c r="J253" s="99">
        <f t="shared" si="20"/>
        <v>0</v>
      </c>
      <c r="K253" s="99">
        <f t="shared" si="17"/>
        <v>132000000</v>
      </c>
    </row>
    <row r="254" spans="1:13">
      <c r="A254" s="99" t="s">
        <v>4533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11</v>
      </c>
      <c r="H254" s="99">
        <f t="shared" si="15"/>
        <v>1</v>
      </c>
      <c r="I254" s="99">
        <f t="shared" si="13"/>
        <v>30000000</v>
      </c>
      <c r="J254" s="99">
        <f t="shared" si="20"/>
        <v>0</v>
      </c>
      <c r="K254" s="99">
        <f t="shared" si="17"/>
        <v>30000000</v>
      </c>
    </row>
    <row r="255" spans="1:13">
      <c r="A255" s="99" t="s">
        <v>4535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10</v>
      </c>
      <c r="H255" s="99">
        <f t="shared" si="15"/>
        <v>0</v>
      </c>
      <c r="I255" s="99">
        <f t="shared" si="13"/>
        <v>-140000000</v>
      </c>
      <c r="J255" s="99">
        <f t="shared" si="20"/>
        <v>0</v>
      </c>
      <c r="K255" s="99">
        <f t="shared" si="17"/>
        <v>-140000000</v>
      </c>
    </row>
    <row r="256" spans="1:13">
      <c r="A256" s="99" t="s">
        <v>4537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9</v>
      </c>
      <c r="H256" s="99">
        <f t="shared" si="15"/>
        <v>0</v>
      </c>
      <c r="I256" s="99">
        <f t="shared" si="13"/>
        <v>-1124721</v>
      </c>
      <c r="J256" s="99">
        <f t="shared" si="20"/>
        <v>0</v>
      </c>
      <c r="K256" s="99">
        <f t="shared" si="17"/>
        <v>-1124721</v>
      </c>
    </row>
    <row r="257" spans="1:12">
      <c r="A257" s="99" t="s">
        <v>4537</v>
      </c>
      <c r="B257" s="18">
        <v>0</v>
      </c>
      <c r="C257" s="39">
        <v>-7968789</v>
      </c>
      <c r="D257" s="39">
        <f t="shared" si="18"/>
        <v>7968789</v>
      </c>
      <c r="E257" s="99" t="s">
        <v>4541</v>
      </c>
      <c r="F257" s="99">
        <v>1</v>
      </c>
      <c r="G257" s="36">
        <f t="shared" si="21"/>
        <v>9</v>
      </c>
      <c r="H257" s="99">
        <f t="shared" si="15"/>
        <v>0</v>
      </c>
      <c r="I257" s="99">
        <f t="shared" si="13"/>
        <v>0</v>
      </c>
      <c r="J257" s="99">
        <f t="shared" si="20"/>
        <v>-71719101</v>
      </c>
      <c r="K257" s="99">
        <f t="shared" si="17"/>
        <v>71719101</v>
      </c>
    </row>
    <row r="258" spans="1:12">
      <c r="A258" s="99" t="s">
        <v>4543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8</v>
      </c>
      <c r="H258" s="99">
        <f t="shared" si="15"/>
        <v>0</v>
      </c>
      <c r="I258" s="99">
        <f t="shared" si="13"/>
        <v>-10504000</v>
      </c>
      <c r="J258" s="99">
        <f t="shared" si="20"/>
        <v>0</v>
      </c>
      <c r="K258" s="99">
        <f t="shared" si="17"/>
        <v>-10504000</v>
      </c>
    </row>
    <row r="259" spans="1:12">
      <c r="A259" s="99" t="s">
        <v>4562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5</v>
      </c>
      <c r="H259" s="99">
        <f t="shared" si="15"/>
        <v>1</v>
      </c>
      <c r="I259" s="99">
        <f t="shared" si="13"/>
        <v>8000000</v>
      </c>
      <c r="J259" s="99">
        <f t="shared" si="20"/>
        <v>0</v>
      </c>
      <c r="K259" s="99">
        <f t="shared" si="17"/>
        <v>8000000</v>
      </c>
    </row>
    <row r="260" spans="1:12">
      <c r="A260" s="99" t="s">
        <v>4564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4</v>
      </c>
      <c r="H260" s="99">
        <f t="shared" si="15"/>
        <v>0</v>
      </c>
      <c r="I260" s="99">
        <f t="shared" si="13"/>
        <v>-7600000</v>
      </c>
      <c r="J260" s="99">
        <f t="shared" si="20"/>
        <v>0</v>
      </c>
      <c r="K260" s="99">
        <f t="shared" si="17"/>
        <v>-7600000</v>
      </c>
    </row>
    <row r="261" spans="1:12">
      <c r="A261" s="99" t="s">
        <v>4564</v>
      </c>
      <c r="B261" s="18">
        <v>-100500</v>
      </c>
      <c r="C261" s="18">
        <v>0</v>
      </c>
      <c r="D261" s="18">
        <f t="shared" si="18"/>
        <v>-100500</v>
      </c>
      <c r="E261" s="99" t="s">
        <v>4568</v>
      </c>
      <c r="F261" s="99">
        <v>0</v>
      </c>
      <c r="G261" s="36">
        <f t="shared" si="21"/>
        <v>4</v>
      </c>
      <c r="H261" s="99">
        <f t="shared" si="15"/>
        <v>0</v>
      </c>
      <c r="I261" s="99">
        <f t="shared" si="13"/>
        <v>-402000</v>
      </c>
      <c r="J261" s="99">
        <f t="shared" si="20"/>
        <v>0</v>
      </c>
      <c r="K261" s="99">
        <f t="shared" si="17"/>
        <v>-402000</v>
      </c>
    </row>
    <row r="262" spans="1:12">
      <c r="A262" s="99" t="s">
        <v>4564</v>
      </c>
      <c r="B262" s="18">
        <v>-68670</v>
      </c>
      <c r="C262" s="18">
        <v>0</v>
      </c>
      <c r="D262" s="18">
        <f t="shared" si="18"/>
        <v>-68670</v>
      </c>
      <c r="E262" s="99" t="s">
        <v>4574</v>
      </c>
      <c r="F262" s="99">
        <v>1</v>
      </c>
      <c r="G262" s="36">
        <f t="shared" si="21"/>
        <v>4</v>
      </c>
      <c r="H262" s="99">
        <f t="shared" si="15"/>
        <v>0</v>
      </c>
      <c r="I262" s="99">
        <f t="shared" si="13"/>
        <v>-274680</v>
      </c>
      <c r="J262" s="99">
        <f t="shared" si="20"/>
        <v>0</v>
      </c>
      <c r="K262" s="99">
        <f t="shared" si="17"/>
        <v>-274680</v>
      </c>
    </row>
    <row r="263" spans="1:12">
      <c r="A263" s="99" t="s">
        <v>4570</v>
      </c>
      <c r="B263" s="18">
        <v>-118600</v>
      </c>
      <c r="C263" s="18">
        <v>0</v>
      </c>
      <c r="D263" s="18">
        <f t="shared" si="18"/>
        <v>-118600</v>
      </c>
      <c r="E263" s="99" t="s">
        <v>4419</v>
      </c>
      <c r="F263" s="99">
        <v>2</v>
      </c>
      <c r="G263" s="36">
        <f t="shared" si="21"/>
        <v>3</v>
      </c>
      <c r="H263" s="99">
        <f t="shared" si="15"/>
        <v>0</v>
      </c>
      <c r="I263" s="99">
        <f t="shared" si="13"/>
        <v>-355800</v>
      </c>
      <c r="J263" s="99">
        <f t="shared" si="20"/>
        <v>0</v>
      </c>
      <c r="K263" s="99">
        <f t="shared" si="17"/>
        <v>-355800</v>
      </c>
      <c r="L263" t="s">
        <v>25</v>
      </c>
    </row>
    <row r="264" spans="1:12">
      <c r="A264" s="99" t="s">
        <v>4587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1</v>
      </c>
      <c r="H264" s="99">
        <f t="shared" si="15"/>
        <v>1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2">
      <c r="A265" s="99" t="s">
        <v>4587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1</v>
      </c>
      <c r="H265" s="99">
        <f t="shared" si="15"/>
        <v>0</v>
      </c>
      <c r="I265" s="99">
        <f t="shared" si="13"/>
        <v>-6400000</v>
      </c>
      <c r="J265" s="99">
        <f t="shared" si="20"/>
        <v>0</v>
      </c>
      <c r="K265" s="99">
        <f t="shared" si="17"/>
        <v>-6400000</v>
      </c>
    </row>
    <row r="266" spans="1:12">
      <c r="A266" s="99" t="s">
        <v>4587</v>
      </c>
      <c r="B266" s="18">
        <v>-389000</v>
      </c>
      <c r="C266" s="18">
        <v>0</v>
      </c>
      <c r="D266" s="18">
        <f t="shared" si="18"/>
        <v>-389000</v>
      </c>
      <c r="E266" s="99" t="s">
        <v>4595</v>
      </c>
      <c r="F266" s="99">
        <v>1</v>
      </c>
      <c r="G266" s="36">
        <f t="shared" si="21"/>
        <v>1</v>
      </c>
      <c r="H266" s="99">
        <f t="shared" si="15"/>
        <v>0</v>
      </c>
      <c r="I266" s="99">
        <f t="shared" si="13"/>
        <v>-389000</v>
      </c>
      <c r="J266" s="99">
        <f t="shared" si="20"/>
        <v>0</v>
      </c>
      <c r="K266" s="99">
        <f t="shared" si="17"/>
        <v>-389000</v>
      </c>
    </row>
    <row r="267" spans="1:12">
      <c r="A267" s="99"/>
      <c r="B267" s="18"/>
      <c r="C267" s="18"/>
      <c r="D267" s="18">
        <f t="shared" si="18"/>
        <v>0</v>
      </c>
      <c r="E267" s="99"/>
      <c r="F267" s="99"/>
      <c r="G267" s="36">
        <f t="shared" si="21"/>
        <v>0</v>
      </c>
      <c r="H267" s="99">
        <f t="shared" si="15"/>
        <v>0</v>
      </c>
      <c r="I267" s="99">
        <f t="shared" si="13"/>
        <v>0</v>
      </c>
      <c r="J267" s="99">
        <f t="shared" si="20"/>
        <v>0</v>
      </c>
      <c r="K267" s="99">
        <f t="shared" si="17"/>
        <v>0</v>
      </c>
    </row>
    <row r="268" spans="1:12">
      <c r="A268" s="99"/>
      <c r="B268" s="18"/>
      <c r="C268" s="18"/>
      <c r="D268" s="18">
        <f t="shared" si="18"/>
        <v>0</v>
      </c>
      <c r="E268" s="99"/>
      <c r="F268" s="99"/>
      <c r="G268" s="36">
        <f t="shared" si="21"/>
        <v>0</v>
      </c>
      <c r="H268" s="99">
        <f t="shared" si="15"/>
        <v>0</v>
      </c>
      <c r="I268" s="99">
        <f t="shared" si="13"/>
        <v>0</v>
      </c>
      <c r="J268" s="99">
        <f t="shared" si="20"/>
        <v>0</v>
      </c>
      <c r="K268" s="99">
        <f t="shared" si="17"/>
        <v>0</v>
      </c>
    </row>
    <row r="269" spans="1:12">
      <c r="A269" s="11"/>
      <c r="B269" s="18"/>
      <c r="C269" s="18"/>
      <c r="D269" s="18">
        <f t="shared" si="18"/>
        <v>0</v>
      </c>
      <c r="E269" s="11"/>
      <c r="F269" s="11">
        <v>0</v>
      </c>
      <c r="G269" s="36">
        <f t="shared" si="19"/>
        <v>0</v>
      </c>
      <c r="H269" s="99">
        <f t="shared" si="15"/>
        <v>0</v>
      </c>
      <c r="I269" s="99">
        <f t="shared" si="13"/>
        <v>0</v>
      </c>
      <c r="J269" s="99">
        <f t="shared" si="20"/>
        <v>0</v>
      </c>
      <c r="K269" s="99">
        <f t="shared" si="17"/>
        <v>0</v>
      </c>
    </row>
    <row r="270" spans="1:12">
      <c r="A270" s="11"/>
      <c r="B270" s="29">
        <f>SUM(B2:B269)</f>
        <v>7431</v>
      </c>
      <c r="C270" s="29">
        <f>SUM(C2:C266)</f>
        <v>0</v>
      </c>
      <c r="D270" s="29">
        <f>SUM(D2:D263)</f>
        <v>17431</v>
      </c>
      <c r="E270" s="11"/>
      <c r="F270" s="11"/>
      <c r="G270" s="11"/>
      <c r="H270" s="11"/>
      <c r="I270" s="29">
        <f>SUM(I2:I269)</f>
        <v>18827544640</v>
      </c>
      <c r="J270" s="29">
        <f>SUM(J2:J269)</f>
        <v>8687685429</v>
      </c>
      <c r="K270" s="29">
        <f>SUM(K2:K269)</f>
        <v>10139859211</v>
      </c>
    </row>
    <row r="271" spans="1:12">
      <c r="A271" s="11"/>
      <c r="B271" s="11" t="s">
        <v>283</v>
      </c>
      <c r="C271" s="11" t="s">
        <v>488</v>
      </c>
      <c r="D271" s="11" t="s">
        <v>489</v>
      </c>
      <c r="E271" s="11"/>
      <c r="F271" s="11"/>
      <c r="G271" s="11"/>
      <c r="H271" s="11"/>
      <c r="I271" s="11" t="s">
        <v>485</v>
      </c>
      <c r="J271" s="11" t="s">
        <v>486</v>
      </c>
      <c r="K271" s="11" t="s">
        <v>487</v>
      </c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3">
        <f>I270/G2</f>
        <v>19153148.158697862</v>
      </c>
      <c r="J273" s="29">
        <f>J270/G2</f>
        <v>8837930.2431332655</v>
      </c>
      <c r="K273" s="29">
        <f>K270/G2</f>
        <v>10315217.915564599</v>
      </c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 t="s">
        <v>491</v>
      </c>
      <c r="J274" s="11" t="s">
        <v>492</v>
      </c>
      <c r="K274" s="11" t="s">
        <v>493</v>
      </c>
    </row>
    <row r="277" spans="1:11" ht="30">
      <c r="B277" s="22" t="s">
        <v>854</v>
      </c>
      <c r="D277" s="98">
        <f>D270-D151+D152</f>
        <v>1214070</v>
      </c>
      <c r="G277" t="s">
        <v>25</v>
      </c>
      <c r="J277">
        <f>J270/I270*1448696</f>
        <v>668478.8362424823</v>
      </c>
      <c r="K277">
        <f>K270/I270*1448696</f>
        <v>780217.16375751782</v>
      </c>
    </row>
    <row r="278" spans="1:11">
      <c r="B278" s="7"/>
    </row>
    <row r="279" spans="1:11">
      <c r="B2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4373</v>
      </c>
      <c r="L21" s="33" t="s">
        <v>4375</v>
      </c>
      <c r="M21" s="96" t="s">
        <v>4374</v>
      </c>
      <c r="N21" s="192" t="s">
        <v>4376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4338</v>
      </c>
      <c r="L23">
        <v>9149046982</v>
      </c>
      <c r="M23" t="s">
        <v>4339</v>
      </c>
      <c r="N23" t="s">
        <v>4340</v>
      </c>
      <c r="O23" t="s">
        <v>4341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9"/>
  <sheetViews>
    <sheetView tabSelected="1" topLeftCell="H59" zoomScaleNormal="100" workbookViewId="0">
      <selection activeCell="N74" sqref="N74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4357</v>
      </c>
      <c r="AT9" s="99" t="s">
        <v>4358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سارا!D270</f>
        <v>17431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4379</v>
      </c>
      <c r="V19" s="73" t="s">
        <v>4381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4482</v>
      </c>
      <c r="N20" s="113">
        <v>139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S53</f>
        <v>87</v>
      </c>
      <c r="T20" s="169" t="s">
        <v>4319</v>
      </c>
      <c r="U20" s="169">
        <v>192.1</v>
      </c>
      <c r="V20" s="169">
        <f t="shared" ref="V20:V31" si="4">U20*(1+$N$79+$Q$15*S20/36500)</f>
        <v>207.072221369863</v>
      </c>
      <c r="W20" s="32">
        <f t="shared" ref="W20:W31" si="5">V20*(1+$W$19/100)</f>
        <v>211.21366579726026</v>
      </c>
      <c r="X20" s="32">
        <f t="shared" ref="X20:X31" si="6">V20*(1+$X$19/100)</f>
        <v>215.35511022465752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257</v>
      </c>
      <c r="AM20" s="113">
        <f>AJ20*AL20</f>
        <v>4626000000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4495</v>
      </c>
      <c r="L21" s="117">
        <f>-N31</f>
        <v>76339010.816321447</v>
      </c>
      <c r="M21" s="169" t="s">
        <v>4311</v>
      </c>
      <c r="N21" s="113">
        <f t="shared" ref="N21:N28" si="7">O21*P21</f>
        <v>10993536.1</v>
      </c>
      <c r="O21" s="99">
        <v>65869</v>
      </c>
      <c r="P21" s="190">
        <f>P42</f>
        <v>166.9</v>
      </c>
      <c r="Q21" s="170">
        <v>1450345</v>
      </c>
      <c r="R21" s="169" t="s">
        <v>4315</v>
      </c>
      <c r="S21" s="196">
        <f>S20-36</f>
        <v>51</v>
      </c>
      <c r="T21" s="169" t="s">
        <v>4320</v>
      </c>
      <c r="U21" s="169">
        <v>313.7</v>
      </c>
      <c r="V21" s="169">
        <f t="shared" si="4"/>
        <v>329.48641534246576</v>
      </c>
      <c r="W21" s="32">
        <f t="shared" si="5"/>
        <v>336.0761436493151</v>
      </c>
      <c r="X21" s="32">
        <f t="shared" si="6"/>
        <v>342.66587195616438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256</v>
      </c>
      <c r="AM21" s="113">
        <f t="shared" ref="AM21:AM101" si="9">AJ21*AL21</f>
        <v>640000000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L59</f>
        <v>232908792.81632143</v>
      </c>
      <c r="G22" s="95">
        <f t="shared" si="0"/>
        <v>35065619.899871856</v>
      </c>
      <c r="H22" s="11"/>
      <c r="I22" s="96"/>
      <c r="J22" s="96"/>
      <c r="K22" s="169" t="s">
        <v>4498</v>
      </c>
      <c r="L22" s="117">
        <f>-'آذر 97'!D57</f>
        <v>-2909349</v>
      </c>
      <c r="M22" s="169" t="s">
        <v>4324</v>
      </c>
      <c r="N22" s="113">
        <f t="shared" si="7"/>
        <v>9568742.4000000004</v>
      </c>
      <c r="O22" s="99">
        <v>33504</v>
      </c>
      <c r="P22" s="190">
        <f>P44</f>
        <v>285.60000000000002</v>
      </c>
      <c r="Q22" s="170">
        <v>400069</v>
      </c>
      <c r="R22" s="169" t="s">
        <v>4321</v>
      </c>
      <c r="S22" s="196">
        <f>S21-1</f>
        <v>50</v>
      </c>
      <c r="T22" s="169" t="s">
        <v>4322</v>
      </c>
      <c r="U22" s="169">
        <v>314.8</v>
      </c>
      <c r="V22" s="169">
        <f t="shared" si="4"/>
        <v>330.40028054794527</v>
      </c>
      <c r="W22" s="32">
        <f t="shared" si="5"/>
        <v>337.00828615890418</v>
      </c>
      <c r="X22" s="32">
        <f t="shared" si="6"/>
        <v>343.6162917698631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255</v>
      </c>
      <c r="AM22" s="113">
        <f t="shared" si="9"/>
        <v>2040000000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60000</v>
      </c>
      <c r="M23" s="169" t="s">
        <v>4411</v>
      </c>
      <c r="N23" s="113">
        <f t="shared" si="7"/>
        <v>3404457.1</v>
      </c>
      <c r="O23" s="99">
        <v>781</v>
      </c>
      <c r="P23" s="99">
        <f>P45</f>
        <v>4359.1000000000004</v>
      </c>
      <c r="Q23" s="170">
        <v>8690518</v>
      </c>
      <c r="R23" s="169" t="s">
        <v>4321</v>
      </c>
      <c r="S23" s="196">
        <f>S22</f>
        <v>50</v>
      </c>
      <c r="T23" s="169" t="s">
        <v>4323</v>
      </c>
      <c r="U23" s="169">
        <v>313</v>
      </c>
      <c r="V23" s="169">
        <f t="shared" si="4"/>
        <v>328.51107945205484</v>
      </c>
      <c r="W23" s="32">
        <f t="shared" si="5"/>
        <v>335.08130104109597</v>
      </c>
      <c r="X23" s="32">
        <f t="shared" si="6"/>
        <v>341.65152263013704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254</v>
      </c>
      <c r="AM23" s="113">
        <f t="shared" si="9"/>
        <v>-20206208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4558</v>
      </c>
      <c r="N24" s="113">
        <f t="shared" si="7"/>
        <v>29816</v>
      </c>
      <c r="O24" s="69">
        <v>80</v>
      </c>
      <c r="P24" s="99">
        <f>P47</f>
        <v>372.7</v>
      </c>
      <c r="Q24" s="170">
        <v>595156</v>
      </c>
      <c r="R24" s="169" t="s">
        <v>4409</v>
      </c>
      <c r="S24" s="197">
        <f>S23-16</f>
        <v>34</v>
      </c>
      <c r="T24" s="169" t="s">
        <v>4412</v>
      </c>
      <c r="U24" s="169">
        <v>5808.5</v>
      </c>
      <c r="V24" s="169">
        <f t="shared" si="4"/>
        <v>6025.0536109589038</v>
      </c>
      <c r="W24" s="32">
        <f t="shared" si="5"/>
        <v>6145.5546831780821</v>
      </c>
      <c r="X24" s="32">
        <f t="shared" si="6"/>
        <v>6266.0557553972603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253</v>
      </c>
      <c r="AM24" s="113">
        <f t="shared" si="9"/>
        <v>41871500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4448</v>
      </c>
      <c r="S25" s="169">
        <f>S24-7</f>
        <v>27</v>
      </c>
      <c r="T25" s="19" t="s">
        <v>4451</v>
      </c>
      <c r="U25" s="169">
        <v>5474</v>
      </c>
      <c r="V25" s="169">
        <f t="shared" si="4"/>
        <v>5648.6880876712339</v>
      </c>
      <c r="W25" s="32">
        <f t="shared" si="5"/>
        <v>5761.6618494246586</v>
      </c>
      <c r="X25" s="32">
        <f t="shared" si="6"/>
        <v>5874.6356111780833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241</v>
      </c>
      <c r="AM25" s="113">
        <f t="shared" si="9"/>
        <v>-6948108807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4484</v>
      </c>
      <c r="N26" s="113">
        <v>9</v>
      </c>
      <c r="O26" s="69"/>
      <c r="P26" s="99"/>
      <c r="Q26" s="170">
        <v>2197673</v>
      </c>
      <c r="R26" s="169" t="s">
        <v>4448</v>
      </c>
      <c r="S26" s="169">
        <f>S25</f>
        <v>27</v>
      </c>
      <c r="T26" s="19" t="s">
        <v>4452</v>
      </c>
      <c r="U26" s="169">
        <v>5349</v>
      </c>
      <c r="V26" s="169">
        <f t="shared" si="4"/>
        <v>5519.6990465753433</v>
      </c>
      <c r="W26" s="32">
        <f t="shared" si="5"/>
        <v>5630.0930275068504</v>
      </c>
      <c r="X26" s="32">
        <f t="shared" si="6"/>
        <v>5740.4870084383574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235</v>
      </c>
      <c r="AM26" s="113">
        <f t="shared" si="9"/>
        <v>4347500000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4457</v>
      </c>
      <c r="N27" s="113">
        <f t="shared" si="7"/>
        <v>2730317.1</v>
      </c>
      <c r="O27" s="69">
        <v>16359</v>
      </c>
      <c r="P27" s="99">
        <f>P42</f>
        <v>166.9</v>
      </c>
      <c r="Q27" s="170">
        <v>1353959</v>
      </c>
      <c r="R27" s="169" t="s">
        <v>4448</v>
      </c>
      <c r="S27" s="204">
        <f>S26</f>
        <v>27</v>
      </c>
      <c r="T27" s="19" t="s">
        <v>4500</v>
      </c>
      <c r="U27" s="169">
        <v>192.2</v>
      </c>
      <c r="V27" s="169">
        <f t="shared" si="4"/>
        <v>198.33354958904113</v>
      </c>
      <c r="W27" s="32">
        <f t="shared" si="5"/>
        <v>202.30022058082196</v>
      </c>
      <c r="X27" s="32">
        <f t="shared" si="6"/>
        <v>206.26689157260279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234</v>
      </c>
      <c r="AM27" s="113">
        <f t="shared" si="9"/>
        <v>-4340700000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4558</v>
      </c>
      <c r="N28" s="113">
        <f t="shared" si="7"/>
        <v>29816</v>
      </c>
      <c r="O28" s="36">
        <v>80</v>
      </c>
      <c r="P28" s="99">
        <f>P47</f>
        <v>372.7</v>
      </c>
      <c r="Q28" s="170">
        <v>1614398</v>
      </c>
      <c r="R28" s="169" t="s">
        <v>4456</v>
      </c>
      <c r="S28" s="169">
        <f>S27-3</f>
        <v>24</v>
      </c>
      <c r="T28" s="19" t="s">
        <v>4555</v>
      </c>
      <c r="U28" s="169">
        <v>184.6</v>
      </c>
      <c r="V28" s="169">
        <f t="shared" si="4"/>
        <v>190.06618301369863</v>
      </c>
      <c r="W28" s="32">
        <f t="shared" si="5"/>
        <v>193.8675066739726</v>
      </c>
      <c r="X28" s="32">
        <f t="shared" si="6"/>
        <v>197.66883033424659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233</v>
      </c>
      <c r="AM28" s="113">
        <f t="shared" si="9"/>
        <v>-15135913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4553</v>
      </c>
      <c r="S29" s="203">
        <f>S28-18</f>
        <v>6</v>
      </c>
      <c r="T29" s="169" t="s">
        <v>4560</v>
      </c>
      <c r="U29" s="169">
        <v>315</v>
      </c>
      <c r="V29" s="169">
        <f t="shared" si="4"/>
        <v>319.97786301369865</v>
      </c>
      <c r="W29" s="32">
        <f t="shared" si="5"/>
        <v>326.37742027397263</v>
      </c>
      <c r="X29" s="32">
        <f t="shared" si="6"/>
        <v>332.77697753424661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228</v>
      </c>
      <c r="AM29" s="113">
        <f t="shared" si="9"/>
        <v>1459200000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4570</v>
      </c>
      <c r="S30" s="203">
        <f>S29-4</f>
        <v>2</v>
      </c>
      <c r="T30" s="169" t="s">
        <v>4571</v>
      </c>
      <c r="U30" s="169">
        <v>166.2</v>
      </c>
      <c r="V30" s="169">
        <f t="shared" si="4"/>
        <v>168.31643178082194</v>
      </c>
      <c r="W30" s="32">
        <f t="shared" si="5"/>
        <v>171.68276041643838</v>
      </c>
      <c r="X30" s="32">
        <f t="shared" si="6"/>
        <v>175.04908905205482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227</v>
      </c>
      <c r="AM30" s="113">
        <f t="shared" si="9"/>
        <v>-38590000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-S100</f>
        <v>-76339010.816321447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1</v>
      </c>
      <c r="T31" s="169" t="s">
        <v>4579</v>
      </c>
      <c r="U31" s="169">
        <v>166</v>
      </c>
      <c r="V31" s="169">
        <f t="shared" si="4"/>
        <v>167.98654246575342</v>
      </c>
      <c r="W31" s="32">
        <f t="shared" si="5"/>
        <v>171.34627331506849</v>
      </c>
      <c r="X31" s="32">
        <f t="shared" si="6"/>
        <v>174.70600416438356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222</v>
      </c>
      <c r="AM31" s="113">
        <f t="shared" si="9"/>
        <v>-1398600000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221</v>
      </c>
      <c r="AM32" s="113">
        <f t="shared" si="9"/>
        <v>-11495315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f>SUM(N21:N24)-SUM(Q20:Q32)</f>
        <v>-3438618.3999999985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205</v>
      </c>
      <c r="AM33" s="113">
        <f t="shared" si="9"/>
        <v>4103567000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4467</v>
      </c>
      <c r="L34" s="117">
        <v>-50000000</v>
      </c>
      <c r="M34" s="73"/>
      <c r="N34" s="113"/>
      <c r="O34" s="96"/>
      <c r="P34" s="96"/>
      <c r="R34" s="115"/>
      <c r="S34" s="115" t="s">
        <v>25</v>
      </c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205</v>
      </c>
      <c r="AM34" s="113">
        <f t="shared" si="9"/>
        <v>207965530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4462</v>
      </c>
      <c r="AU34" s="99" t="s">
        <v>4518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4335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193</v>
      </c>
      <c r="AM35" s="113">
        <f t="shared" si="9"/>
        <v>69480000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4511</v>
      </c>
      <c r="AU35" s="99" t="s">
        <v>4517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4544</v>
      </c>
      <c r="L36" s="117">
        <v>-2000000</v>
      </c>
      <c r="M36" s="169" t="s">
        <v>4465</v>
      </c>
      <c r="N36" s="113">
        <v>-20000000</v>
      </c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191</v>
      </c>
      <c r="AM36" s="113">
        <f t="shared" si="9"/>
        <v>-66850000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4553</v>
      </c>
      <c r="AU36" s="99" t="s">
        <v>4554</v>
      </c>
      <c r="AV36" s="170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4466</v>
      </c>
      <c r="N37" s="113">
        <v>-50000000</v>
      </c>
      <c r="O37" s="96"/>
      <c r="P37" s="96"/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4379</v>
      </c>
      <c r="V37" s="73" t="s">
        <v>4381</v>
      </c>
      <c r="W37" s="32">
        <v>2</v>
      </c>
      <c r="X37" s="32">
        <v>4</v>
      </c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191</v>
      </c>
      <c r="AM37" s="113">
        <f t="shared" si="9"/>
        <v>191000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4431</v>
      </c>
      <c r="L38" s="117">
        <v>3000000</v>
      </c>
      <c r="M38" s="169"/>
      <c r="N38" s="113"/>
      <c r="O38" s="96"/>
      <c r="P38" s="96"/>
      <c r="Q38" s="169">
        <v>0</v>
      </c>
      <c r="R38" s="169" t="s">
        <v>4175</v>
      </c>
      <c r="S38" s="169">
        <f>S53</f>
        <v>87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190</v>
      </c>
      <c r="AM38" s="113">
        <f t="shared" si="9"/>
        <v>6385900000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4462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4483</v>
      </c>
      <c r="N39" s="113">
        <v>6927186</v>
      </c>
      <c r="Q39" s="170">
        <v>863944</v>
      </c>
      <c r="R39" s="169" t="s">
        <v>4456</v>
      </c>
      <c r="S39" s="169">
        <f>S38-62</f>
        <v>25</v>
      </c>
      <c r="T39" s="195" t="s">
        <v>4556</v>
      </c>
      <c r="U39" s="169">
        <v>184.6</v>
      </c>
      <c r="V39" s="169">
        <f t="shared" ref="V39:V44" si="13">U39*(1+$N$79+$Q$15*S39/36500)</f>
        <v>190.20779397260276</v>
      </c>
      <c r="W39" s="32">
        <f>V39*(1+$W$19/100)</f>
        <v>194.01194985205481</v>
      </c>
      <c r="X39" s="32">
        <f>V39*(1+$X$19/100)</f>
        <v>197.81610573150687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186</v>
      </c>
      <c r="AM39" s="113">
        <f t="shared" si="9"/>
        <v>-2901600000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25314</v>
      </c>
      <c r="R40" s="169" t="s">
        <v>4553</v>
      </c>
      <c r="S40" s="203">
        <f>S39-18</f>
        <v>7</v>
      </c>
      <c r="T40" s="194" t="s">
        <v>4559</v>
      </c>
      <c r="U40" s="169">
        <v>315</v>
      </c>
      <c r="V40" s="169">
        <f t="shared" si="13"/>
        <v>320.21950684931511</v>
      </c>
      <c r="W40" s="32">
        <f t="shared" ref="W40:W44" si="14">V40*(1+$W$19/100)</f>
        <v>326.62389698630142</v>
      </c>
      <c r="X40" s="32">
        <f t="shared" ref="X40:X44" si="15">V40*(1+$X$19/100)</f>
        <v>333.02828712328773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183</v>
      </c>
      <c r="AM40" s="113">
        <f t="shared" si="9"/>
        <v>1372500000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 t="s">
        <v>4468</v>
      </c>
      <c r="L41" s="117">
        <v>145929</v>
      </c>
      <c r="M41" s="32" t="s">
        <v>4407</v>
      </c>
      <c r="N41" s="113">
        <f t="shared" ref="N41:N49" si="16">O41*P41</f>
        <v>1938092</v>
      </c>
      <c r="O41" s="99">
        <v>611</v>
      </c>
      <c r="P41" s="99">
        <v>3172</v>
      </c>
      <c r="Q41" s="170">
        <v>1692313</v>
      </c>
      <c r="R41" s="169" t="s">
        <v>4564</v>
      </c>
      <c r="S41" s="203">
        <f>S40-3</f>
        <v>4</v>
      </c>
      <c r="T41" s="194" t="s">
        <v>4565</v>
      </c>
      <c r="U41" s="169">
        <v>168.5</v>
      </c>
      <c r="V41" s="169">
        <f t="shared" si="13"/>
        <v>170.90424109589046</v>
      </c>
      <c r="W41" s="32">
        <f t="shared" si="14"/>
        <v>174.32232591780826</v>
      </c>
      <c r="X41" s="32">
        <f t="shared" si="15"/>
        <v>177.74041073972609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179</v>
      </c>
      <c r="AM41" s="113">
        <f t="shared" si="9"/>
        <v>-17542000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6"/>
        <v>194588543.09999999</v>
      </c>
      <c r="O42" s="99">
        <v>1165899</v>
      </c>
      <c r="P42" s="99">
        <v>166.9</v>
      </c>
      <c r="Q42" s="170">
        <v>101153</v>
      </c>
      <c r="R42" s="169" t="s">
        <v>4570</v>
      </c>
      <c r="S42" s="203">
        <f>S41-1</f>
        <v>3</v>
      </c>
      <c r="T42" s="194" t="s">
        <v>4572</v>
      </c>
      <c r="U42" s="169">
        <v>166.7</v>
      </c>
      <c r="V42" s="169">
        <f t="shared" si="13"/>
        <v>168.95067835616439</v>
      </c>
      <c r="W42" s="32">
        <f t="shared" si="14"/>
        <v>172.32969192328767</v>
      </c>
      <c r="X42" s="32">
        <f t="shared" si="15"/>
        <v>175.70870549041098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178</v>
      </c>
      <c r="AM42" s="113">
        <f t="shared" si="9"/>
        <v>-4628000000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4569</v>
      </c>
      <c r="L43" s="117">
        <v>100000</v>
      </c>
      <c r="M43" s="169" t="s">
        <v>4509</v>
      </c>
      <c r="N43" s="113">
        <f t="shared" si="16"/>
        <v>604511.80000000005</v>
      </c>
      <c r="O43" s="99">
        <v>3622</v>
      </c>
      <c r="P43" s="99">
        <f>P42</f>
        <v>166.9</v>
      </c>
      <c r="Q43" s="170">
        <v>183105</v>
      </c>
      <c r="R43" s="169" t="s">
        <v>4234</v>
      </c>
      <c r="S43" s="203">
        <f>S42-1</f>
        <v>2</v>
      </c>
      <c r="T43" s="194" t="s">
        <v>4578</v>
      </c>
      <c r="U43" s="169">
        <v>166.6</v>
      </c>
      <c r="V43" s="169">
        <f t="shared" si="13"/>
        <v>168.72152547945208</v>
      </c>
      <c r="W43" s="32">
        <f t="shared" si="14"/>
        <v>172.09595598904113</v>
      </c>
      <c r="X43" s="32">
        <f t="shared" si="15"/>
        <v>175.47038649863018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178</v>
      </c>
      <c r="AM43" s="113">
        <f t="shared" si="9"/>
        <v>4450000000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6"/>
        <v>0</v>
      </c>
      <c r="O44" s="69">
        <v>0</v>
      </c>
      <c r="P44" s="69">
        <v>285.60000000000002</v>
      </c>
      <c r="Q44" s="170"/>
      <c r="R44" s="169"/>
      <c r="S44" s="113"/>
      <c r="T44" s="113"/>
      <c r="U44" s="169"/>
      <c r="V44" s="169">
        <f t="shared" si="13"/>
        <v>0</v>
      </c>
      <c r="W44" s="32">
        <f t="shared" si="14"/>
        <v>0</v>
      </c>
      <c r="X44" s="32">
        <f t="shared" si="15"/>
        <v>0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177</v>
      </c>
      <c r="AM44" s="113">
        <f t="shared" si="9"/>
        <v>19470000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4411</v>
      </c>
      <c r="N45" s="113">
        <f t="shared" si="16"/>
        <v>3343429.7</v>
      </c>
      <c r="O45" s="69">
        <v>767</v>
      </c>
      <c r="P45" s="69">
        <v>4359.1000000000004</v>
      </c>
      <c r="Q45" s="113">
        <f>SUM(N27:N28)-SUM(Q38:Q44)</f>
        <v>-105695.89999999991</v>
      </c>
      <c r="R45" s="169"/>
      <c r="S45" s="169"/>
      <c r="T45" s="169"/>
      <c r="U45" s="169"/>
      <c r="V45" s="169"/>
      <c r="W45" s="32"/>
      <c r="X45" s="32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176</v>
      </c>
      <c r="AM45" s="113">
        <f t="shared" si="9"/>
        <v>66880000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4426</v>
      </c>
      <c r="N46" s="117">
        <f t="shared" si="16"/>
        <v>4360158</v>
      </c>
      <c r="O46" s="69">
        <v>10431</v>
      </c>
      <c r="P46" s="69">
        <v>418</v>
      </c>
      <c r="R46" s="115"/>
      <c r="S46" s="115"/>
      <c r="T46" s="115" t="s">
        <v>25</v>
      </c>
      <c r="U46" s="115"/>
      <c r="V46" s="115"/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169</v>
      </c>
      <c r="AM46" s="113">
        <f t="shared" si="9"/>
        <v>76050000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4558</v>
      </c>
      <c r="N47" s="117">
        <f t="shared" si="16"/>
        <v>29443.3</v>
      </c>
      <c r="O47" s="69">
        <v>79</v>
      </c>
      <c r="P47" s="69">
        <v>372.7</v>
      </c>
      <c r="Q47" t="s">
        <v>25</v>
      </c>
      <c r="S47" s="26" t="s">
        <v>25</v>
      </c>
      <c r="T47" t="s">
        <v>25</v>
      </c>
      <c r="U47" s="96" t="s">
        <v>25</v>
      </c>
      <c r="V47" s="115" t="s">
        <v>25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163</v>
      </c>
      <c r="AM47" s="113">
        <f t="shared" si="9"/>
        <v>456400000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4550</v>
      </c>
      <c r="N48" s="117">
        <f t="shared" si="16"/>
        <v>731998.1</v>
      </c>
      <c r="O48" s="69">
        <v>271</v>
      </c>
      <c r="P48" s="69">
        <v>2701.1</v>
      </c>
      <c r="T48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162</v>
      </c>
      <c r="AM48" s="113">
        <f t="shared" si="9"/>
        <v>-243000000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6"/>
        <v>21000000</v>
      </c>
      <c r="O49" s="69">
        <v>60</v>
      </c>
      <c r="P49" s="69">
        <v>350000</v>
      </c>
      <c r="T49" t="s">
        <v>25</v>
      </c>
      <c r="U49" s="96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162</v>
      </c>
      <c r="AM49" s="113">
        <f t="shared" si="9"/>
        <v>494100000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169" t="s">
        <v>1154</v>
      </c>
      <c r="N50" s="117">
        <v>14908</v>
      </c>
      <c r="O50" s="96" t="s">
        <v>25</v>
      </c>
      <c r="P50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159</v>
      </c>
      <c r="AM50" s="113">
        <f t="shared" si="9"/>
        <v>-1319638308</v>
      </c>
      <c r="AN50" s="99"/>
    </row>
    <row r="51" spans="1:40" ht="3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169" t="s">
        <v>1155</v>
      </c>
      <c r="N51" s="117">
        <v>5282</v>
      </c>
      <c r="O51" s="96"/>
      <c r="Q51" s="73" t="s">
        <v>4305</v>
      </c>
      <c r="R51" s="112"/>
      <c r="S51" s="112"/>
      <c r="T51" s="112"/>
      <c r="U51" s="169" t="s">
        <v>4379</v>
      </c>
      <c r="V51" s="36" t="s">
        <v>4381</v>
      </c>
      <c r="W51" s="32"/>
      <c r="X51" s="32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157</v>
      </c>
      <c r="AM51" s="113">
        <f t="shared" si="9"/>
        <v>785000000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12" t="s">
        <v>267</v>
      </c>
      <c r="R52" s="112" t="s">
        <v>180</v>
      </c>
      <c r="S52" s="112" t="s">
        <v>183</v>
      </c>
      <c r="T52" s="112" t="s">
        <v>8</v>
      </c>
      <c r="U52" s="169"/>
      <c r="V52" s="99"/>
      <c r="W52" s="32">
        <v>2</v>
      </c>
      <c r="X52" s="32">
        <v>4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143</v>
      </c>
      <c r="AM52" s="113">
        <f t="shared" si="9"/>
        <v>-12870000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169" t="s">
        <v>25</v>
      </c>
      <c r="L53" s="117"/>
      <c r="M53" s="169" t="s">
        <v>4183</v>
      </c>
      <c r="N53" s="113">
        <f>-O53*P53</f>
        <v>-13814813.700000001</v>
      </c>
      <c r="O53" s="99">
        <v>82773</v>
      </c>
      <c r="P53" s="99">
        <f>P42</f>
        <v>166.9</v>
      </c>
      <c r="Q53" s="170">
        <v>184971545</v>
      </c>
      <c r="R53" s="169" t="s">
        <v>4175</v>
      </c>
      <c r="S53" s="196">
        <v>87</v>
      </c>
      <c r="T53" s="169" t="s">
        <v>4362</v>
      </c>
      <c r="U53" s="169">
        <v>192</v>
      </c>
      <c r="V53" s="99">
        <f t="shared" ref="V53:V86" si="17">U53*(1+$N$79+$Q$15*S53/36500)</f>
        <v>206.96442739726029</v>
      </c>
      <c r="W53" s="32">
        <f t="shared" ref="W53:W78" si="18">V53*(1+$W$19/100)</f>
        <v>211.10371594520549</v>
      </c>
      <c r="X53" s="32">
        <f t="shared" ref="X53:X78" si="19">V53*(1+$X$19/100)</f>
        <v>215.24300449315072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142</v>
      </c>
      <c r="AM53" s="113">
        <f t="shared" si="9"/>
        <v>795200000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Q54" s="170">
        <v>692463</v>
      </c>
      <c r="R54" s="169" t="s">
        <v>4264</v>
      </c>
      <c r="S54" s="196">
        <f>S53-21</f>
        <v>66</v>
      </c>
      <c r="T54" s="169" t="s">
        <v>4552</v>
      </c>
      <c r="U54" s="169">
        <v>190.3</v>
      </c>
      <c r="V54" s="99">
        <f t="shared" si="17"/>
        <v>202.06627506849318</v>
      </c>
      <c r="W54" s="32">
        <f t="shared" si="18"/>
        <v>206.10760056986305</v>
      </c>
      <c r="X54" s="32">
        <f t="shared" si="19"/>
        <v>210.14892607123292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138</v>
      </c>
      <c r="AM54" s="113">
        <f t="shared" si="9"/>
        <v>103500000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Q55" s="170">
        <v>9560464</v>
      </c>
      <c r="R55" s="169" t="s">
        <v>4309</v>
      </c>
      <c r="S55" s="196">
        <f>S54-11</f>
        <v>55</v>
      </c>
      <c r="T55" s="169" t="s">
        <v>4326</v>
      </c>
      <c r="U55" s="169">
        <v>214.57</v>
      </c>
      <c r="V55" s="99">
        <f t="shared" si="17"/>
        <v>226.02627441095893</v>
      </c>
      <c r="W55" s="32">
        <f t="shared" si="18"/>
        <v>230.54679989917813</v>
      </c>
      <c r="X55" s="32">
        <f t="shared" si="19"/>
        <v>235.06732538739729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136</v>
      </c>
      <c r="AM55" s="171">
        <f t="shared" si="9"/>
        <v>-576912000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 t="s">
        <v>4469</v>
      </c>
      <c r="N56" s="113">
        <f>-S101</f>
        <v>-7716163.2485903436</v>
      </c>
      <c r="Q56" s="170">
        <v>2000000</v>
      </c>
      <c r="R56" s="169" t="s">
        <v>4357</v>
      </c>
      <c r="S56" s="169">
        <f>S55-11</f>
        <v>44</v>
      </c>
      <c r="T56" s="169" t="s">
        <v>4361</v>
      </c>
      <c r="U56" s="169">
        <v>206.8</v>
      </c>
      <c r="V56" s="99">
        <f t="shared" si="17"/>
        <v>216.09636821917809</v>
      </c>
      <c r="W56" s="32">
        <f t="shared" si="18"/>
        <v>220.41829558356164</v>
      </c>
      <c r="X56" s="32">
        <f t="shared" si="19"/>
        <v>224.74022294794523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134</v>
      </c>
      <c r="AM56" s="113">
        <f t="shared" si="9"/>
        <v>549400000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4388</v>
      </c>
      <c r="S57" s="169">
        <f>S56-7</f>
        <v>37</v>
      </c>
      <c r="T57" s="169" t="s">
        <v>4397</v>
      </c>
      <c r="U57" s="169">
        <v>203.9</v>
      </c>
      <c r="V57" s="99">
        <f t="shared" si="17"/>
        <v>211.97108821917811</v>
      </c>
      <c r="W57" s="32">
        <f t="shared" si="18"/>
        <v>216.21050998356168</v>
      </c>
      <c r="X57" s="32">
        <f t="shared" si="19"/>
        <v>220.44993174794524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134</v>
      </c>
      <c r="AM57" s="113">
        <f t="shared" si="9"/>
        <v>549400000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4388</v>
      </c>
      <c r="S58" s="169">
        <f>S57</f>
        <v>37</v>
      </c>
      <c r="T58" s="169" t="s">
        <v>4399</v>
      </c>
      <c r="U58" s="169">
        <v>203.1</v>
      </c>
      <c r="V58" s="99">
        <f t="shared" si="17"/>
        <v>211.13942136986304</v>
      </c>
      <c r="W58" s="32">
        <f t="shared" si="18"/>
        <v>215.36220979726031</v>
      </c>
      <c r="X58" s="32">
        <f t="shared" si="19"/>
        <v>219.58499822465757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133</v>
      </c>
      <c r="AM58" s="113">
        <f t="shared" si="9"/>
        <v>105070000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 t="s">
        <v>598</v>
      </c>
      <c r="L59" s="113">
        <f>SUM(L16:L45)</f>
        <v>232908792.81632143</v>
      </c>
      <c r="M59" s="169"/>
      <c r="N59" s="113">
        <f>SUM(N16:N55)</f>
        <v>305912991.18367863</v>
      </c>
      <c r="Q59" s="170">
        <v>2412371</v>
      </c>
      <c r="R59" s="169" t="s">
        <v>4390</v>
      </c>
      <c r="S59" s="169">
        <f>S58-1</f>
        <v>36</v>
      </c>
      <c r="T59" s="169" t="s">
        <v>4406</v>
      </c>
      <c r="U59" s="169">
        <v>3930</v>
      </c>
      <c r="V59" s="99">
        <f t="shared" si="17"/>
        <v>4082.5486027397264</v>
      </c>
      <c r="W59" s="32">
        <f t="shared" si="18"/>
        <v>4164.1995747945211</v>
      </c>
      <c r="X59" s="32">
        <f t="shared" si="19"/>
        <v>4245.8505468493158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118</v>
      </c>
      <c r="AM59" s="173">
        <f t="shared" si="9"/>
        <v>-456070000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 t="s">
        <v>599</v>
      </c>
      <c r="L60" s="113">
        <f>L16+L17+L23</f>
        <v>83202</v>
      </c>
      <c r="M60" s="169"/>
      <c r="N60" s="113">
        <f>N16+N17+N32</f>
        <v>530736</v>
      </c>
      <c r="Q60" s="170">
        <v>2010885</v>
      </c>
      <c r="R60" s="169" t="s">
        <v>4409</v>
      </c>
      <c r="S60" s="169">
        <f>S59-2</f>
        <v>34</v>
      </c>
      <c r="T60" s="169" t="s">
        <v>4415</v>
      </c>
      <c r="U60" s="169">
        <v>202.1</v>
      </c>
      <c r="V60" s="99">
        <f t="shared" si="17"/>
        <v>209.6347309589041</v>
      </c>
      <c r="W60" s="32">
        <f t="shared" si="18"/>
        <v>213.8274255780822</v>
      </c>
      <c r="X60" s="32">
        <f t="shared" si="19"/>
        <v>218.02012019726027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112</v>
      </c>
      <c r="AM60" s="113">
        <f t="shared" si="9"/>
        <v>2105600000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56" t="s">
        <v>716</v>
      </c>
      <c r="L61" s="1">
        <f>L59+N7</f>
        <v>302908792.81632143</v>
      </c>
      <c r="M61" s="113"/>
      <c r="N61" s="169"/>
      <c r="O61" s="115"/>
      <c r="P61" s="115"/>
      <c r="Q61" s="170">
        <v>1994038</v>
      </c>
      <c r="R61" s="169" t="s">
        <v>4420</v>
      </c>
      <c r="S61" s="169">
        <f>S60-3</f>
        <v>31</v>
      </c>
      <c r="T61" s="169" t="s">
        <v>4438</v>
      </c>
      <c r="U61" s="169">
        <v>5560.3</v>
      </c>
      <c r="V61" s="99">
        <f t="shared" si="17"/>
        <v>5754.8038641095891</v>
      </c>
      <c r="W61" s="32">
        <f t="shared" si="18"/>
        <v>5869.8999413917809</v>
      </c>
      <c r="X61" s="32">
        <f t="shared" si="19"/>
        <v>5984.9960186739727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109</v>
      </c>
      <c r="AM61" s="113">
        <f t="shared" si="9"/>
        <v>54500000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O62" s="96"/>
      <c r="P62" s="96"/>
      <c r="Q62" s="170">
        <v>4629290</v>
      </c>
      <c r="R62" s="169" t="s">
        <v>4420</v>
      </c>
      <c r="S62" s="198">
        <f>S61</f>
        <v>31</v>
      </c>
      <c r="T62" s="169" t="s">
        <v>4427</v>
      </c>
      <c r="U62" s="169">
        <v>441.8</v>
      </c>
      <c r="V62" s="99">
        <f t="shared" si="17"/>
        <v>457.25452712328769</v>
      </c>
      <c r="W62" s="32">
        <f t="shared" si="18"/>
        <v>466.39961766575345</v>
      </c>
      <c r="X62" s="32">
        <f t="shared" si="19"/>
        <v>475.54470820821922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108</v>
      </c>
      <c r="AM62" s="113">
        <f t="shared" si="9"/>
        <v>21600000</v>
      </c>
      <c r="AN62" s="20"/>
    </row>
    <row r="63" spans="1:40">
      <c r="E63" s="26"/>
      <c r="M63" s="25"/>
      <c r="O63" t="s">
        <v>25</v>
      </c>
      <c r="Q63" s="170">
        <v>1971103</v>
      </c>
      <c r="R63" s="169" t="s">
        <v>4433</v>
      </c>
      <c r="S63" s="169">
        <f>S62-1</f>
        <v>30</v>
      </c>
      <c r="T63" s="169" t="s">
        <v>4434</v>
      </c>
      <c r="U63" s="169">
        <v>196.2</v>
      </c>
      <c r="V63" s="99">
        <f t="shared" si="17"/>
        <v>202.91272767123289</v>
      </c>
      <c r="W63" s="32">
        <f t="shared" si="18"/>
        <v>206.97098222465755</v>
      </c>
      <c r="X63" s="32">
        <f t="shared" si="19"/>
        <v>211.02923677808221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105</v>
      </c>
      <c r="AM63" s="113">
        <f t="shared" si="9"/>
        <v>105000000</v>
      </c>
      <c r="AN63" s="20"/>
    </row>
    <row r="64" spans="1:40">
      <c r="E64" s="26"/>
      <c r="M64" s="25" t="s">
        <v>4083</v>
      </c>
      <c r="P64" t="s">
        <v>25</v>
      </c>
      <c r="Q64" s="170">
        <v>1049856</v>
      </c>
      <c r="R64" s="169" t="s">
        <v>4456</v>
      </c>
      <c r="S64" s="204">
        <f>S63-6</f>
        <v>24</v>
      </c>
      <c r="T64" s="169" t="s">
        <v>4501</v>
      </c>
      <c r="U64" s="169">
        <v>184.5</v>
      </c>
      <c r="V64" s="99">
        <f t="shared" si="17"/>
        <v>189.96322191780823</v>
      </c>
      <c r="W64" s="32">
        <f t="shared" si="18"/>
        <v>193.7624863561644</v>
      </c>
      <c r="X64" s="32">
        <f t="shared" si="19"/>
        <v>197.56175079452055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102</v>
      </c>
      <c r="AM64" s="113">
        <f t="shared" si="9"/>
        <v>132600000</v>
      </c>
      <c r="AN64" s="20"/>
    </row>
    <row r="65" spans="1:40">
      <c r="M65" s="178"/>
      <c r="O65" s="22"/>
      <c r="Q65" s="170">
        <v>1783234</v>
      </c>
      <c r="R65" s="169" t="s">
        <v>4458</v>
      </c>
      <c r="S65" s="169">
        <f>S64-2</f>
        <v>22</v>
      </c>
      <c r="T65" s="169" t="s">
        <v>4459</v>
      </c>
      <c r="U65" s="169">
        <v>177.5</v>
      </c>
      <c r="V65" s="99">
        <f t="shared" si="17"/>
        <v>182.48361643835619</v>
      </c>
      <c r="W65" s="32">
        <f t="shared" si="18"/>
        <v>186.13328876712333</v>
      </c>
      <c r="X65" s="32">
        <f t="shared" si="19"/>
        <v>189.78296109589044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102</v>
      </c>
      <c r="AM65" s="113">
        <f t="shared" si="9"/>
        <v>101490000</v>
      </c>
      <c r="AN65" s="20"/>
    </row>
    <row r="66" spans="1:40">
      <c r="M66" s="122"/>
      <c r="O66" t="s">
        <v>25</v>
      </c>
      <c r="P66" t="s">
        <v>25</v>
      </c>
      <c r="Q66" s="170">
        <v>1904396</v>
      </c>
      <c r="R66" s="169" t="s">
        <v>4458</v>
      </c>
      <c r="S66" s="203">
        <f>S65</f>
        <v>22</v>
      </c>
      <c r="T66" s="169" t="s">
        <v>4464</v>
      </c>
      <c r="U66" s="169">
        <v>4861</v>
      </c>
      <c r="V66" s="99">
        <f t="shared" si="17"/>
        <v>4997.4808986301377</v>
      </c>
      <c r="W66" s="32">
        <f t="shared" si="18"/>
        <v>5097.4305166027407</v>
      </c>
      <c r="X66" s="32">
        <f t="shared" si="19"/>
        <v>5197.3801345753436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100</v>
      </c>
      <c r="AM66" s="113">
        <f t="shared" si="9"/>
        <v>1300000000</v>
      </c>
      <c r="AN66" s="20"/>
    </row>
    <row r="67" spans="1:40">
      <c r="A67" t="s">
        <v>25</v>
      </c>
      <c r="F67" t="s">
        <v>310</v>
      </c>
      <c r="G67" t="s">
        <v>4102</v>
      </c>
      <c r="M67" s="122" t="s">
        <v>4428</v>
      </c>
      <c r="O67" s="114"/>
      <c r="Q67" s="170">
        <v>1826179</v>
      </c>
      <c r="R67" s="169" t="s">
        <v>4462</v>
      </c>
      <c r="S67" s="203">
        <f>S66-5</f>
        <v>17</v>
      </c>
      <c r="T67" s="73" t="s">
        <v>4510</v>
      </c>
      <c r="U67" s="169">
        <v>190.3</v>
      </c>
      <c r="V67" s="99">
        <f t="shared" si="17"/>
        <v>194.91308054794524</v>
      </c>
      <c r="W67" s="32">
        <f t="shared" si="18"/>
        <v>198.81134215890415</v>
      </c>
      <c r="X67" s="32">
        <f t="shared" si="19"/>
        <v>202.70960376986307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98</v>
      </c>
      <c r="AM67" s="113">
        <f t="shared" si="9"/>
        <v>-303800000</v>
      </c>
      <c r="AN67" s="20"/>
    </row>
    <row r="68" spans="1:40">
      <c r="F68" t="s">
        <v>4106</v>
      </c>
      <c r="G68" t="s">
        <v>4101</v>
      </c>
      <c r="M68" s="122" t="s">
        <v>4547</v>
      </c>
      <c r="N68" s="96"/>
      <c r="Q68" s="170">
        <v>1049976</v>
      </c>
      <c r="R68" s="169" t="s">
        <v>4462</v>
      </c>
      <c r="S68" s="203">
        <f>S67</f>
        <v>17</v>
      </c>
      <c r="T68" s="73" t="s">
        <v>4519</v>
      </c>
      <c r="U68" s="169">
        <v>190.3</v>
      </c>
      <c r="V68" s="99">
        <f t="shared" si="17"/>
        <v>194.91308054794524</v>
      </c>
      <c r="W68" s="32">
        <f t="shared" si="18"/>
        <v>198.81134215890415</v>
      </c>
      <c r="X68" s="32">
        <f t="shared" si="19"/>
        <v>202.70960376986307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95</v>
      </c>
      <c r="AM68" s="113">
        <f t="shared" si="9"/>
        <v>4335800000</v>
      </c>
      <c r="AN68" s="20"/>
    </row>
    <row r="69" spans="1:40">
      <c r="F69" t="s">
        <v>4107</v>
      </c>
      <c r="G69" t="s">
        <v>4103</v>
      </c>
      <c r="M69" s="122" t="s">
        <v>4528</v>
      </c>
      <c r="N69" s="96"/>
      <c r="P69" t="s">
        <v>25</v>
      </c>
      <c r="Q69" s="170">
        <v>3969956</v>
      </c>
      <c r="R69" s="169" t="s">
        <v>4520</v>
      </c>
      <c r="S69" s="169">
        <f>S68-2</f>
        <v>15</v>
      </c>
      <c r="T69" s="73" t="s">
        <v>4521</v>
      </c>
      <c r="U69" s="169">
        <v>396500</v>
      </c>
      <c r="V69" s="99">
        <f t="shared" si="17"/>
        <v>405503.26575342473</v>
      </c>
      <c r="W69" s="32">
        <f t="shared" si="18"/>
        <v>413613.33106849325</v>
      </c>
      <c r="X69" s="32">
        <f t="shared" si="19"/>
        <v>421723.39638356172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94</v>
      </c>
      <c r="AM69" s="113">
        <f t="shared" si="9"/>
        <v>3149000000</v>
      </c>
      <c r="AN69" s="20"/>
    </row>
    <row r="70" spans="1:40">
      <c r="G70" t="s">
        <v>4104</v>
      </c>
      <c r="M70" s="122" t="s">
        <v>4530</v>
      </c>
      <c r="N70" s="96"/>
      <c r="P70" s="115"/>
      <c r="Q70" s="170">
        <v>3894862</v>
      </c>
      <c r="R70" s="169" t="s">
        <v>4529</v>
      </c>
      <c r="S70" s="169">
        <f>S69-2</f>
        <v>13</v>
      </c>
      <c r="T70" s="73" t="s">
        <v>4593</v>
      </c>
      <c r="U70" s="169">
        <v>389000</v>
      </c>
      <c r="V70" s="99">
        <f t="shared" si="17"/>
        <v>397236.14246575348</v>
      </c>
      <c r="W70" s="32">
        <f t="shared" si="18"/>
        <v>405180.86531506857</v>
      </c>
      <c r="X70" s="32">
        <f t="shared" si="19"/>
        <v>413125.58816438366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93</v>
      </c>
      <c r="AM70" s="117">
        <f t="shared" si="9"/>
        <v>1116000000</v>
      </c>
      <c r="AN70" s="20"/>
    </row>
    <row r="71" spans="1:40" ht="30">
      <c r="G71" t="s">
        <v>4105</v>
      </c>
      <c r="M71" s="122" t="s">
        <v>4546</v>
      </c>
      <c r="N71" s="96"/>
      <c r="P71" s="115" t="s">
        <v>25</v>
      </c>
      <c r="Q71" s="170">
        <v>5881743</v>
      </c>
      <c r="R71" s="169" t="s">
        <v>4535</v>
      </c>
      <c r="S71" s="169">
        <f>S70-3</f>
        <v>10</v>
      </c>
      <c r="T71" s="73" t="s">
        <v>4561</v>
      </c>
      <c r="U71" s="169">
        <v>172.2</v>
      </c>
      <c r="V71" s="99">
        <f t="shared" si="17"/>
        <v>175.44962630136988</v>
      </c>
      <c r="W71" s="32">
        <f t="shared" si="18"/>
        <v>178.95861882739729</v>
      </c>
      <c r="X71" s="32">
        <f t="shared" si="19"/>
        <v>182.46761135342467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92</v>
      </c>
      <c r="AM71" s="117">
        <f t="shared" si="9"/>
        <v>1426000000</v>
      </c>
      <c r="AN71" s="20"/>
    </row>
    <row r="72" spans="1:40">
      <c r="G72" t="s">
        <v>4109</v>
      </c>
      <c r="M72" s="122" t="s">
        <v>4563</v>
      </c>
      <c r="O72" t="s">
        <v>25</v>
      </c>
      <c r="P72" s="115"/>
      <c r="Q72" s="170">
        <v>4025024</v>
      </c>
      <c r="R72" s="169" t="s">
        <v>4535</v>
      </c>
      <c r="S72" s="169">
        <f>S71</f>
        <v>10</v>
      </c>
      <c r="T72" s="73" t="s">
        <v>4539</v>
      </c>
      <c r="U72" s="169">
        <v>402000</v>
      </c>
      <c r="V72" s="99">
        <f t="shared" si="17"/>
        <v>409586.23561643838</v>
      </c>
      <c r="W72" s="32">
        <f t="shared" si="18"/>
        <v>417777.96032876713</v>
      </c>
      <c r="X72" s="32">
        <f t="shared" si="19"/>
        <v>425969.68504109595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88</v>
      </c>
      <c r="AM72" s="117">
        <f t="shared" si="9"/>
        <v>13200000</v>
      </c>
      <c r="AN72" s="20"/>
    </row>
    <row r="73" spans="1:40">
      <c r="G73" t="s">
        <v>4108</v>
      </c>
      <c r="M73" s="96">
        <f>O42+O43+O21+O27-O53</f>
        <v>1168976</v>
      </c>
      <c r="N73" s="113">
        <f>M73*P42</f>
        <v>195102094.40000001</v>
      </c>
      <c r="P73" s="115"/>
      <c r="Q73" s="170">
        <v>3919893</v>
      </c>
      <c r="R73" s="169" t="s">
        <v>4537</v>
      </c>
      <c r="S73" s="169">
        <f>S72-1</f>
        <v>9</v>
      </c>
      <c r="T73" s="73" t="s">
        <v>4538</v>
      </c>
      <c r="U73" s="169">
        <v>391500</v>
      </c>
      <c r="V73" s="99">
        <f t="shared" si="17"/>
        <v>398587.75890410965</v>
      </c>
      <c r="W73" s="32">
        <f t="shared" si="18"/>
        <v>406559.51408219186</v>
      </c>
      <c r="X73" s="32">
        <f t="shared" si="19"/>
        <v>414531.26926027407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87</v>
      </c>
      <c r="AM73" s="182">
        <f t="shared" si="9"/>
        <v>2523000000</v>
      </c>
      <c r="AN73" s="181" t="s">
        <v>4189</v>
      </c>
    </row>
    <row r="74" spans="1:40">
      <c r="M74" t="s">
        <v>4277</v>
      </c>
      <c r="P74" s="115"/>
      <c r="Q74" s="170">
        <v>3825777</v>
      </c>
      <c r="R74" s="169" t="s">
        <v>4543</v>
      </c>
      <c r="S74" s="169">
        <f>S73-1</f>
        <v>8</v>
      </c>
      <c r="T74" s="73" t="s">
        <v>4545</v>
      </c>
      <c r="U74" s="169">
        <v>382100</v>
      </c>
      <c r="V74" s="99">
        <f t="shared" si="17"/>
        <v>388724.46246575343</v>
      </c>
      <c r="W74" s="32">
        <f t="shared" si="18"/>
        <v>396498.95171506848</v>
      </c>
      <c r="X74" s="32">
        <f t="shared" si="19"/>
        <v>404273.4409643836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72</v>
      </c>
      <c r="AM74" s="117">
        <f t="shared" si="9"/>
        <v>-9360000</v>
      </c>
      <c r="AN74" s="20" t="s">
        <v>4215</v>
      </c>
    </row>
    <row r="75" spans="1:40">
      <c r="N75" t="s">
        <v>25</v>
      </c>
      <c r="P75" s="115"/>
      <c r="Q75" s="170">
        <v>773238</v>
      </c>
      <c r="R75" s="169" t="s">
        <v>4236</v>
      </c>
      <c r="S75" s="169">
        <f>S74-1</f>
        <v>7</v>
      </c>
      <c r="T75" s="73" t="s">
        <v>4551</v>
      </c>
      <c r="U75" s="169">
        <v>2850</v>
      </c>
      <c r="V75" s="99">
        <f t="shared" si="17"/>
        <v>2897.2241095890417</v>
      </c>
      <c r="W75" s="32">
        <f t="shared" si="18"/>
        <v>2955.1685917808227</v>
      </c>
      <c r="X75" s="32">
        <f t="shared" si="19"/>
        <v>3013.1130739726036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65</v>
      </c>
      <c r="AM75" s="117">
        <f>AJ75*AL75</f>
        <v>15080000</v>
      </c>
      <c r="AN75" s="20" t="s">
        <v>4270</v>
      </c>
    </row>
    <row r="76" spans="1:40">
      <c r="D76" s="3"/>
      <c r="E76" s="11" t="s">
        <v>304</v>
      </c>
      <c r="P76" s="115"/>
      <c r="Q76" s="170">
        <v>24997</v>
      </c>
      <c r="R76" s="169" t="s">
        <v>4553</v>
      </c>
      <c r="S76" s="169">
        <f>S75-1</f>
        <v>6</v>
      </c>
      <c r="T76" s="73" t="s">
        <v>4560</v>
      </c>
      <c r="U76" s="169">
        <v>315</v>
      </c>
      <c r="V76" s="99">
        <f t="shared" si="17"/>
        <v>319.97786301369865</v>
      </c>
      <c r="W76" s="32">
        <f t="shared" si="18"/>
        <v>326.37742027397263</v>
      </c>
      <c r="X76" s="32">
        <f t="shared" si="19"/>
        <v>332.77697753424661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20"/>
        <v>63</v>
      </c>
      <c r="AM76" s="117">
        <f t="shared" si="9"/>
        <v>-10710000</v>
      </c>
      <c r="AN76" s="20"/>
    </row>
    <row r="77" spans="1:40">
      <c r="D77" s="1" t="s">
        <v>305</v>
      </c>
      <c r="E77" s="1">
        <v>70000</v>
      </c>
      <c r="M77" t="s">
        <v>949</v>
      </c>
      <c r="N77">
        <v>6.3E-3</v>
      </c>
      <c r="P77" s="115"/>
      <c r="Q77" s="170">
        <v>674112</v>
      </c>
      <c r="R77" s="169" t="s">
        <v>4564</v>
      </c>
      <c r="S77" s="169">
        <f>S76-3</f>
        <v>3</v>
      </c>
      <c r="T77" s="73" t="s">
        <v>4566</v>
      </c>
      <c r="U77" s="169">
        <v>167.8</v>
      </c>
      <c r="V77" s="99">
        <f t="shared" si="17"/>
        <v>170.06552986301372</v>
      </c>
      <c r="W77" s="32">
        <f t="shared" si="18"/>
        <v>173.466840460274</v>
      </c>
      <c r="X77" s="32">
        <f t="shared" si="19"/>
        <v>176.86815105753428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20"/>
        <v>60</v>
      </c>
      <c r="AM77" s="117">
        <f t="shared" si="9"/>
        <v>-18000000</v>
      </c>
      <c r="AN77" s="20"/>
    </row>
    <row r="78" spans="1:40">
      <c r="D78" s="1" t="s">
        <v>321</v>
      </c>
      <c r="E78" s="1">
        <v>100000</v>
      </c>
      <c r="M78" t="s">
        <v>61</v>
      </c>
      <c r="N78">
        <v>4.8999999999999998E-3</v>
      </c>
      <c r="P78" s="115"/>
      <c r="Q78" s="170">
        <v>3614512</v>
      </c>
      <c r="R78" s="169" t="s">
        <v>4564</v>
      </c>
      <c r="S78" s="169">
        <f>S77</f>
        <v>3</v>
      </c>
      <c r="T78" s="73" t="s">
        <v>4567</v>
      </c>
      <c r="U78" s="169">
        <v>361000</v>
      </c>
      <c r="V78" s="99">
        <f t="shared" si="17"/>
        <v>365873.99452054797</v>
      </c>
      <c r="W78" s="32">
        <f t="shared" si="18"/>
        <v>373191.47441095894</v>
      </c>
      <c r="X78" s="32">
        <f t="shared" si="19"/>
        <v>380508.9543013699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57</v>
      </c>
      <c r="AM78" s="117">
        <f t="shared" si="9"/>
        <v>-649800000</v>
      </c>
      <c r="AN78" s="20"/>
    </row>
    <row r="79" spans="1:40">
      <c r="D79" s="1" t="s">
        <v>306</v>
      </c>
      <c r="E79" s="1">
        <v>80000</v>
      </c>
      <c r="M79" t="s">
        <v>6</v>
      </c>
      <c r="N79">
        <f>N77+N78</f>
        <v>1.12E-2</v>
      </c>
      <c r="O79" t="s">
        <v>25</v>
      </c>
      <c r="P79" t="s">
        <v>25</v>
      </c>
      <c r="Q79" s="170">
        <v>105046</v>
      </c>
      <c r="R79" s="169" t="s">
        <v>4570</v>
      </c>
      <c r="S79" s="169">
        <f>S78-1</f>
        <v>2</v>
      </c>
      <c r="T79" s="73" t="s">
        <v>4573</v>
      </c>
      <c r="U79" s="169">
        <v>167</v>
      </c>
      <c r="V79" s="99">
        <f t="shared" si="17"/>
        <v>169.12661917808222</v>
      </c>
      <c r="W79" s="32">
        <f t="shared" ref="W79:W86" si="21">V79*(1+$W$19/100)</f>
        <v>172.50915156164388</v>
      </c>
      <c r="X79" s="32">
        <f t="shared" ref="X79:X86" si="22">V79*(1+$X$19/100)</f>
        <v>175.89168394520553</v>
      </c>
      <c r="AC79" s="115"/>
      <c r="AD79" s="115"/>
      <c r="AE79" s="115"/>
      <c r="AF79"/>
      <c r="AH79" s="20">
        <v>59</v>
      </c>
      <c r="AI79" s="117" t="s">
        <v>4363</v>
      </c>
      <c r="AJ79" s="117">
        <v>-10000000</v>
      </c>
      <c r="AK79" s="20">
        <v>1</v>
      </c>
      <c r="AL79" s="99">
        <f>AL80+AK79</f>
        <v>44</v>
      </c>
      <c r="AM79" s="117">
        <f>AJ79*AL79</f>
        <v>-440000000</v>
      </c>
      <c r="AN79" s="20"/>
    </row>
    <row r="80" spans="1:40">
      <c r="D80" s="31" t="s">
        <v>307</v>
      </c>
      <c r="E80" s="1">
        <v>150000</v>
      </c>
      <c r="J80" t="s">
        <v>25</v>
      </c>
      <c r="Q80" s="170">
        <v>220269</v>
      </c>
      <c r="R80" s="169" t="s">
        <v>4234</v>
      </c>
      <c r="S80" s="169">
        <f>S79-1</f>
        <v>1</v>
      </c>
      <c r="T80" s="73" t="s">
        <v>4580</v>
      </c>
      <c r="U80" s="169">
        <v>165.1</v>
      </c>
      <c r="V80" s="99">
        <f t="shared" si="17"/>
        <v>167.07577205479453</v>
      </c>
      <c r="W80" s="32">
        <f t="shared" si="21"/>
        <v>170.41728749589043</v>
      </c>
      <c r="X80" s="32">
        <f t="shared" si="22"/>
        <v>173.75880293698631</v>
      </c>
      <c r="AC80" s="115"/>
      <c r="AD80" s="115"/>
      <c r="AE80" s="115"/>
      <c r="AF80"/>
      <c r="AH80" s="20">
        <v>60</v>
      </c>
      <c r="AI80" s="117" t="s">
        <v>4364</v>
      </c>
      <c r="AJ80" s="117">
        <v>-2450000</v>
      </c>
      <c r="AK80" s="20">
        <v>5</v>
      </c>
      <c r="AL80" s="99">
        <f>AL81+AK80</f>
        <v>43</v>
      </c>
      <c r="AM80" s="117">
        <f>AJ80*AL80</f>
        <v>-105350000</v>
      </c>
      <c r="AN80" s="20"/>
    </row>
    <row r="81" spans="4:52">
      <c r="D81" s="31" t="s">
        <v>308</v>
      </c>
      <c r="E81" s="1">
        <v>300000</v>
      </c>
      <c r="Q81" s="117">
        <v>277822</v>
      </c>
      <c r="R81" s="169" t="s">
        <v>4234</v>
      </c>
      <c r="S81" s="169">
        <f>S80</f>
        <v>1</v>
      </c>
      <c r="T81" s="73" t="s">
        <v>4581</v>
      </c>
      <c r="U81" s="169">
        <v>165</v>
      </c>
      <c r="V81" s="99">
        <f t="shared" si="17"/>
        <v>166.97457534246576</v>
      </c>
      <c r="W81" s="32">
        <f t="shared" si="21"/>
        <v>170.31406684931508</v>
      </c>
      <c r="X81" s="32">
        <f t="shared" si="22"/>
        <v>173.65355835616438</v>
      </c>
      <c r="AD81" s="115"/>
      <c r="AE81" s="115"/>
      <c r="AF81" s="115"/>
      <c r="AH81" s="20">
        <v>61</v>
      </c>
      <c r="AI81" s="117" t="s">
        <v>4388</v>
      </c>
      <c r="AJ81" s="117">
        <v>-456081</v>
      </c>
      <c r="AK81" s="20">
        <v>1</v>
      </c>
      <c r="AL81" s="99">
        <f t="shared" si="20"/>
        <v>38</v>
      </c>
      <c r="AM81" s="117">
        <f t="shared" si="9"/>
        <v>-17331078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Q82" s="170">
        <v>165664</v>
      </c>
      <c r="R82" s="169" t="s">
        <v>4234</v>
      </c>
      <c r="S82" s="169">
        <f>S81</f>
        <v>1</v>
      </c>
      <c r="T82" s="73" t="s">
        <v>4582</v>
      </c>
      <c r="U82" s="169">
        <v>164.9</v>
      </c>
      <c r="V82" s="99">
        <f t="shared" si="17"/>
        <v>166.87337863013698</v>
      </c>
      <c r="W82" s="32">
        <f t="shared" si="21"/>
        <v>170.21084620273973</v>
      </c>
      <c r="X82" s="32">
        <f t="shared" si="22"/>
        <v>173.54831377534248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4390</v>
      </c>
      <c r="AJ82" s="117">
        <v>-500000</v>
      </c>
      <c r="AK82" s="20">
        <v>2</v>
      </c>
      <c r="AL82" s="99">
        <f>AL83+AK82</f>
        <v>37</v>
      </c>
      <c r="AM82" s="117">
        <f t="shared" si="9"/>
        <v>-18500000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s="199"/>
      <c r="P83" t="s">
        <v>25</v>
      </c>
      <c r="Q83" s="170">
        <v>355909</v>
      </c>
      <c r="R83" s="169" t="s">
        <v>4234</v>
      </c>
      <c r="S83" s="169">
        <f>S82</f>
        <v>1</v>
      </c>
      <c r="T83" s="73" t="s">
        <v>4583</v>
      </c>
      <c r="U83" s="169">
        <v>165.7</v>
      </c>
      <c r="V83" s="99">
        <f t="shared" si="17"/>
        <v>167.6829523287671</v>
      </c>
      <c r="W83" s="32">
        <f t="shared" si="21"/>
        <v>171.03661137534246</v>
      </c>
      <c r="X83" s="32">
        <f t="shared" si="22"/>
        <v>174.39027042191779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4409</v>
      </c>
      <c r="AJ83" s="117">
        <v>-6234370</v>
      </c>
      <c r="AK83" s="20">
        <v>3</v>
      </c>
      <c r="AL83" s="99">
        <f t="shared" si="20"/>
        <v>35</v>
      </c>
      <c r="AM83" s="117">
        <f t="shared" si="9"/>
        <v>-218202950</v>
      </c>
      <c r="AN83" s="20"/>
      <c r="AS83" s="96"/>
      <c r="AU83"/>
    </row>
    <row r="84" spans="4:52" ht="30">
      <c r="D84" s="18" t="s">
        <v>311</v>
      </c>
      <c r="E84" s="18">
        <v>300000</v>
      </c>
      <c r="G84" s="47">
        <v>500000</v>
      </c>
      <c r="H84" s="207" t="s">
        <v>479</v>
      </c>
      <c r="Q84" s="170">
        <v>2798316</v>
      </c>
      <c r="R84" s="169" t="s">
        <v>4234</v>
      </c>
      <c r="S84" s="169">
        <f>S83</f>
        <v>1</v>
      </c>
      <c r="T84" s="73" t="s">
        <v>4589</v>
      </c>
      <c r="U84" s="169">
        <v>165.6</v>
      </c>
      <c r="V84" s="99">
        <f t="shared" si="17"/>
        <v>167.58175561643836</v>
      </c>
      <c r="W84" s="32">
        <f t="shared" si="21"/>
        <v>170.93339072876714</v>
      </c>
      <c r="X84" s="32">
        <f t="shared" si="22"/>
        <v>174.28502584109589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4420</v>
      </c>
      <c r="AJ84" s="117">
        <v>1950957</v>
      </c>
      <c r="AK84" s="20">
        <v>4</v>
      </c>
      <c r="AL84" s="99">
        <f t="shared" si="20"/>
        <v>32</v>
      </c>
      <c r="AM84" s="117">
        <f t="shared" si="9"/>
        <v>62430624</v>
      </c>
      <c r="AN84" s="20"/>
      <c r="AZ84" t="s">
        <v>25</v>
      </c>
    </row>
    <row r="85" spans="4:52" ht="30">
      <c r="D85" s="32" t="s">
        <v>312</v>
      </c>
      <c r="E85" s="1">
        <v>200000</v>
      </c>
      <c r="G85" s="47">
        <v>180000</v>
      </c>
      <c r="H85" s="207" t="s">
        <v>558</v>
      </c>
      <c r="Q85" s="170">
        <v>4047881</v>
      </c>
      <c r="R85" s="169" t="s">
        <v>4587</v>
      </c>
      <c r="S85" s="169">
        <f>S84-1</f>
        <v>0</v>
      </c>
      <c r="T85" s="73" t="s">
        <v>4590</v>
      </c>
      <c r="U85" s="169">
        <v>166.2</v>
      </c>
      <c r="V85" s="99">
        <f t="shared" si="17"/>
        <v>168.06144</v>
      </c>
      <c r="W85" s="32">
        <f t="shared" si="21"/>
        <v>171.4226688</v>
      </c>
      <c r="X85" s="32">
        <f t="shared" si="22"/>
        <v>174.78389760000002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4448</v>
      </c>
      <c r="AJ85" s="117">
        <v>600000</v>
      </c>
      <c r="AK85" s="20">
        <v>5</v>
      </c>
      <c r="AL85" s="99">
        <f t="shared" si="20"/>
        <v>28</v>
      </c>
      <c r="AM85" s="117">
        <f t="shared" si="9"/>
        <v>16800000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Q86" s="170">
        <v>165865</v>
      </c>
      <c r="R86" s="169" t="s">
        <v>4587</v>
      </c>
      <c r="S86" s="169">
        <f>S85</f>
        <v>0</v>
      </c>
      <c r="T86" s="73" t="s">
        <v>4591</v>
      </c>
      <c r="U86" s="169">
        <v>165.1</v>
      </c>
      <c r="V86" s="99">
        <f t="shared" si="17"/>
        <v>166.94912000000002</v>
      </c>
      <c r="W86" s="32">
        <f t="shared" si="21"/>
        <v>170.28810240000001</v>
      </c>
      <c r="X86" s="32">
        <f t="shared" si="22"/>
        <v>173.62708480000003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4458</v>
      </c>
      <c r="AJ86" s="117">
        <v>7500000</v>
      </c>
      <c r="AK86" s="20">
        <v>2</v>
      </c>
      <c r="AL86" s="99">
        <f t="shared" si="20"/>
        <v>23</v>
      </c>
      <c r="AM86" s="117">
        <f t="shared" si="9"/>
        <v>172500000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L87" s="99"/>
      <c r="M87" s="208" t="s">
        <v>4453</v>
      </c>
      <c r="N87" s="169" t="s">
        <v>4310</v>
      </c>
      <c r="O87" s="169" t="s">
        <v>180</v>
      </c>
      <c r="Q87" s="170"/>
      <c r="R87" s="169"/>
      <c r="S87" s="169"/>
      <c r="T87" s="73"/>
      <c r="U87" s="169"/>
      <c r="V87" s="99"/>
      <c r="W87" s="32"/>
      <c r="X87" s="32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4463</v>
      </c>
      <c r="AJ87" s="117">
        <v>-587816</v>
      </c>
      <c r="AK87" s="20">
        <v>3</v>
      </c>
      <c r="AL87" s="99">
        <f t="shared" si="20"/>
        <v>21</v>
      </c>
      <c r="AM87" s="117">
        <f t="shared" si="9"/>
        <v>-12344136</v>
      </c>
      <c r="AN87" s="20"/>
    </row>
    <row r="88" spans="4:52" ht="30">
      <c r="D88" s="32" t="s">
        <v>316</v>
      </c>
      <c r="E88" s="1">
        <v>90000</v>
      </c>
      <c r="G88" s="47">
        <v>500000</v>
      </c>
      <c r="H88" s="48" t="s">
        <v>786</v>
      </c>
      <c r="L88" s="99" t="s">
        <v>4247</v>
      </c>
      <c r="M88" s="209">
        <v>1648</v>
      </c>
      <c r="N88" s="211" t="s">
        <v>4592</v>
      </c>
      <c r="O88" s="99" t="s">
        <v>4535</v>
      </c>
      <c r="Q88" s="170"/>
      <c r="R88" s="169"/>
      <c r="S88" s="169"/>
      <c r="T88" s="169"/>
      <c r="U88" s="169"/>
      <c r="V88" s="99" t="s">
        <v>25</v>
      </c>
      <c r="W88" s="32"/>
      <c r="X88" s="32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4462</v>
      </c>
      <c r="AJ88" s="117">
        <v>-907489</v>
      </c>
      <c r="AK88" s="20">
        <v>0</v>
      </c>
      <c r="AL88" s="99">
        <f>AL89+AK88</f>
        <v>18</v>
      </c>
      <c r="AM88" s="117">
        <f t="shared" si="9"/>
        <v>-16334802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L89" s="99" t="s">
        <v>1086</v>
      </c>
      <c r="M89" s="209">
        <v>3721000</v>
      </c>
      <c r="N89" s="170">
        <v>3921000</v>
      </c>
      <c r="O89" s="99" t="s">
        <v>4535</v>
      </c>
      <c r="Q89" s="113">
        <f>SUM(N41:N49)-SUM(Q53:Q88)</f>
        <v>-32851082</v>
      </c>
      <c r="R89" s="112"/>
      <c r="S89" s="112"/>
      <c r="T89" s="112"/>
      <c r="U89" s="169"/>
      <c r="V89" s="99" t="s">
        <v>25</v>
      </c>
      <c r="W89" s="32"/>
      <c r="X89" s="32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4462</v>
      </c>
      <c r="AJ89" s="117">
        <v>2450000</v>
      </c>
      <c r="AK89" s="20">
        <v>1</v>
      </c>
      <c r="AL89" s="99">
        <f t="shared" si="20"/>
        <v>18</v>
      </c>
      <c r="AM89" s="117">
        <f t="shared" si="9"/>
        <v>44100000</v>
      </c>
      <c r="AN89" s="20" t="s">
        <v>4507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/>
      <c r="M90" s="209"/>
      <c r="N90" s="170"/>
      <c r="O90" s="99"/>
      <c r="Q90" s="26"/>
      <c r="R90" s="185"/>
      <c r="S90" s="185"/>
      <c r="T90" t="s">
        <v>25</v>
      </c>
      <c r="U90" s="96" t="s">
        <v>25</v>
      </c>
      <c r="V90" s="96" t="s">
        <v>25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4511</v>
      </c>
      <c r="AJ90" s="117">
        <v>1500000</v>
      </c>
      <c r="AK90" s="20">
        <v>1</v>
      </c>
      <c r="AL90" s="99">
        <f t="shared" si="20"/>
        <v>17</v>
      </c>
      <c r="AM90" s="117">
        <f t="shared" si="9"/>
        <v>25500000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/>
      <c r="M91" s="209"/>
      <c r="N91" s="170"/>
      <c r="O91" s="99"/>
      <c r="P91" s="115"/>
      <c r="R91" t="s">
        <v>25</v>
      </c>
      <c r="T91" t="s">
        <v>25</v>
      </c>
      <c r="U91" s="96" t="s">
        <v>25</v>
      </c>
      <c r="V91" s="96" t="s">
        <v>25</v>
      </c>
      <c r="W91" s="96" t="s">
        <v>25</v>
      </c>
      <c r="Y91" s="115"/>
      <c r="Z91" s="115"/>
      <c r="AA91" s="115"/>
      <c r="AE91"/>
      <c r="AG91" s="96"/>
      <c r="AH91" s="20">
        <v>71</v>
      </c>
      <c r="AI91" s="117" t="s">
        <v>4520</v>
      </c>
      <c r="AJ91" s="117">
        <v>2648000</v>
      </c>
      <c r="AK91" s="20">
        <v>1</v>
      </c>
      <c r="AL91" s="99">
        <f t="shared" si="20"/>
        <v>16</v>
      </c>
      <c r="AM91" s="117">
        <f t="shared" si="9"/>
        <v>42368000</v>
      </c>
      <c r="AN91" s="20" t="s">
        <v>4522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/>
      <c r="M92" s="209"/>
      <c r="N92" s="170"/>
      <c r="O92" s="99"/>
      <c r="P92" s="128"/>
      <c r="Q92" t="s">
        <v>25</v>
      </c>
      <c r="R92" t="s">
        <v>25</v>
      </c>
      <c r="T92" t="s">
        <v>25</v>
      </c>
      <c r="U92" s="96" t="s">
        <v>25</v>
      </c>
      <c r="V92" s="122" t="s">
        <v>25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15</v>
      </c>
      <c r="AM92" s="117">
        <f t="shared" si="9"/>
        <v>9225000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P93" s="128"/>
      <c r="Q93" t="s">
        <v>25</v>
      </c>
      <c r="S93" t="s">
        <v>25</v>
      </c>
      <c r="T93" t="s">
        <v>25</v>
      </c>
      <c r="U93" s="96" t="s">
        <v>25</v>
      </c>
      <c r="W93" s="96" t="s">
        <v>25</v>
      </c>
      <c r="Y93" s="115"/>
      <c r="Z93" s="115"/>
      <c r="AA93" s="115"/>
      <c r="AE93"/>
      <c r="AG93" s="96"/>
      <c r="AH93" s="20">
        <v>73</v>
      </c>
      <c r="AI93" s="117" t="s">
        <v>4535</v>
      </c>
      <c r="AJ93" s="117">
        <v>14000000</v>
      </c>
      <c r="AK93" s="20">
        <v>2</v>
      </c>
      <c r="AL93" s="99">
        <f>AL94+AK93</f>
        <v>11</v>
      </c>
      <c r="AM93" s="117">
        <f t="shared" si="9"/>
        <v>154000000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15"/>
      <c r="V94" s="96"/>
      <c r="W94"/>
      <c r="AH94" s="20">
        <v>74</v>
      </c>
      <c r="AI94" s="117" t="s">
        <v>4543</v>
      </c>
      <c r="AJ94" s="117">
        <v>1313000</v>
      </c>
      <c r="AK94" s="20">
        <v>0</v>
      </c>
      <c r="AL94" s="99">
        <f>AL95+AK94</f>
        <v>9</v>
      </c>
      <c r="AM94" s="117">
        <f t="shared" si="9"/>
        <v>11817000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V95" s="96"/>
      <c r="W95"/>
      <c r="AH95" s="99">
        <v>75</v>
      </c>
      <c r="AI95" s="113" t="s">
        <v>4543</v>
      </c>
      <c r="AJ95" s="113">
        <v>2269000</v>
      </c>
      <c r="AK95" s="99">
        <v>1</v>
      </c>
      <c r="AL95" s="99">
        <f t="shared" ref="AL95:AL100" si="23">AL96+AK95</f>
        <v>9</v>
      </c>
      <c r="AM95" s="117">
        <f t="shared" si="9"/>
        <v>20421000</v>
      </c>
      <c r="AN95" s="99"/>
    </row>
    <row r="96" spans="4:52">
      <c r="D96" s="32" t="s">
        <v>314</v>
      </c>
      <c r="E96" s="1">
        <v>140000</v>
      </c>
      <c r="L96" s="99"/>
      <c r="Q96" s="99" t="s">
        <v>4487</v>
      </c>
      <c r="R96" s="99" t="s">
        <v>4489</v>
      </c>
      <c r="S96" s="99"/>
      <c r="T96" s="99" t="s">
        <v>4490</v>
      </c>
      <c r="U96" s="99"/>
      <c r="V96" s="99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8</v>
      </c>
      <c r="AM96" s="117">
        <f t="shared" si="9"/>
        <v>6000000</v>
      </c>
      <c r="AN96" s="99"/>
    </row>
    <row r="97" spans="4:47">
      <c r="D97" s="2" t="s">
        <v>478</v>
      </c>
      <c r="E97" s="3">
        <v>1083333</v>
      </c>
      <c r="L97" s="99"/>
      <c r="M97" s="209">
        <v>3965000</v>
      </c>
      <c r="N97" s="170"/>
      <c r="O97" s="99" t="s">
        <v>4520</v>
      </c>
      <c r="Q97" s="113">
        <v>1000</v>
      </c>
      <c r="R97" s="99">
        <v>0.25</v>
      </c>
      <c r="S97" s="99"/>
      <c r="T97" s="99">
        <f>1-R97</f>
        <v>0.75</v>
      </c>
      <c r="U97" s="99"/>
      <c r="V97" s="99"/>
      <c r="AH97" s="99">
        <v>77</v>
      </c>
      <c r="AI97" s="113" t="s">
        <v>4564</v>
      </c>
      <c r="AJ97" s="113">
        <v>1900000</v>
      </c>
      <c r="AK97" s="99">
        <v>3</v>
      </c>
      <c r="AL97" s="99">
        <f t="shared" si="23"/>
        <v>4</v>
      </c>
      <c r="AM97" s="117">
        <f t="shared" si="9"/>
        <v>7600000</v>
      </c>
      <c r="AN97" s="99"/>
    </row>
    <row r="98" spans="4:47">
      <c r="D98" s="2"/>
      <c r="E98" s="3"/>
      <c r="H98" s="96"/>
      <c r="L98" s="99"/>
      <c r="M98" s="209">
        <v>3880000</v>
      </c>
      <c r="N98" s="170"/>
      <c r="O98" s="99" t="s">
        <v>4529</v>
      </c>
      <c r="Q98" s="169" t="s">
        <v>4473</v>
      </c>
      <c r="R98" s="169" t="s">
        <v>4492</v>
      </c>
      <c r="S98" s="169" t="s">
        <v>4494</v>
      </c>
      <c r="T98" s="169" t="s">
        <v>180</v>
      </c>
      <c r="U98" s="169" t="s">
        <v>4488</v>
      </c>
      <c r="V98" s="56" t="s">
        <v>4491</v>
      </c>
      <c r="X98" s="115"/>
      <c r="AH98" s="99">
        <v>78</v>
      </c>
      <c r="AI98" s="113" t="s">
        <v>4587</v>
      </c>
      <c r="AJ98" s="113">
        <v>6400000</v>
      </c>
      <c r="AK98" s="99">
        <v>1</v>
      </c>
      <c r="AL98" s="99">
        <f t="shared" si="23"/>
        <v>1</v>
      </c>
      <c r="AM98" s="117">
        <f t="shared" si="9"/>
        <v>6400000</v>
      </c>
      <c r="AN98" s="99"/>
    </row>
    <row r="99" spans="4:47">
      <c r="D99" s="2"/>
      <c r="E99" s="3"/>
      <c r="L99" s="99" t="s">
        <v>4536</v>
      </c>
      <c r="M99" s="210"/>
      <c r="N99" s="170">
        <v>3894000</v>
      </c>
      <c r="O99" s="99" t="s">
        <v>4531</v>
      </c>
      <c r="Q99" s="169" t="s">
        <v>751</v>
      </c>
      <c r="R99" s="56">
        <v>759341</v>
      </c>
      <c r="S99" s="113">
        <f>R99*$T$126</f>
        <v>177256061.63508818</v>
      </c>
      <c r="T99" s="169" t="s">
        <v>4486</v>
      </c>
      <c r="U99" s="169">
        <f>$Q$97*$T$97*S99/$R$122</f>
        <v>508.74982803625437</v>
      </c>
      <c r="V99" s="95">
        <f>S99+U99</f>
        <v>177256570.38491622</v>
      </c>
      <c r="X99" s="163"/>
      <c r="AH99" s="99"/>
      <c r="AI99" s="113"/>
      <c r="AJ99" s="113"/>
      <c r="AK99" s="99"/>
      <c r="AL99" s="99">
        <f t="shared" si="23"/>
        <v>0</v>
      </c>
      <c r="AM99" s="117">
        <f t="shared" si="9"/>
        <v>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L100" s="99"/>
      <c r="M100" s="209"/>
      <c r="N100" s="170">
        <v>3845000</v>
      </c>
      <c r="O100" s="99" t="s">
        <v>4531</v>
      </c>
      <c r="Q100" s="169" t="s">
        <v>4475</v>
      </c>
      <c r="R100" s="56">
        <v>327026</v>
      </c>
      <c r="S100" s="113">
        <f>R100*$T$126</f>
        <v>76339010.816321447</v>
      </c>
      <c r="T100" s="169" t="s">
        <v>4486</v>
      </c>
      <c r="U100" s="169">
        <f>$Q$97*$T$97*S100/$R$122+Q97*R97</f>
        <v>469.10369815851391</v>
      </c>
      <c r="V100" s="95">
        <f>S100+U100</f>
        <v>76339479.920019612</v>
      </c>
      <c r="X100" s="115"/>
      <c r="AB100" s="96"/>
      <c r="AC100" s="96"/>
      <c r="AH100" s="99"/>
      <c r="AI100" s="113"/>
      <c r="AJ100" s="113"/>
      <c r="AK100" s="99"/>
      <c r="AL100" s="99">
        <f t="shared" si="23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L101" s="99"/>
      <c r="M101" s="209"/>
      <c r="N101" s="170">
        <v>3845000</v>
      </c>
      <c r="O101" s="99" t="s">
        <v>4531</v>
      </c>
      <c r="Q101" s="169" t="s">
        <v>4474</v>
      </c>
      <c r="R101" s="56">
        <v>33055</v>
      </c>
      <c r="S101" s="113">
        <f>R101*$T$126</f>
        <v>7716163.2485903436</v>
      </c>
      <c r="T101" s="169" t="s">
        <v>4486</v>
      </c>
      <c r="U101" s="169">
        <f>$Q$97*$T$97*S101/$R$122</f>
        <v>22.146473805231629</v>
      </c>
      <c r="V101" s="95">
        <f>S101+U101</f>
        <v>7716185.3950641491</v>
      </c>
      <c r="X101" s="115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L102" s="99"/>
      <c r="M102" s="209"/>
      <c r="N102" s="170">
        <v>3845000</v>
      </c>
      <c r="O102" s="99" t="s">
        <v>4531</v>
      </c>
      <c r="Q102" s="169"/>
      <c r="R102" s="56"/>
      <c r="S102" s="169"/>
      <c r="T102" s="169"/>
      <c r="U102" s="169"/>
      <c r="V102" s="99"/>
      <c r="X102" s="115"/>
      <c r="AB102" s="96"/>
      <c r="AC102" s="96"/>
      <c r="AH102" s="99"/>
      <c r="AI102" s="99"/>
      <c r="AJ102" s="95">
        <f>SUM(AJ20:AJ98)</f>
        <v>233584100</v>
      </c>
      <c r="AK102" s="99"/>
      <c r="AL102" s="99"/>
      <c r="AM102" s="95">
        <f>SUM(AM20:AM101)</f>
        <v>25907625137</v>
      </c>
      <c r="AN102" s="95">
        <f>AM102*AN105/31</f>
        <v>16714596.862580646</v>
      </c>
    </row>
    <row r="103" spans="4:47">
      <c r="L103" s="99" t="s">
        <v>4540</v>
      </c>
      <c r="M103" s="209">
        <v>3990000</v>
      </c>
      <c r="N103" s="170"/>
      <c r="O103" s="99" t="s">
        <v>4535</v>
      </c>
      <c r="Q103" s="169"/>
      <c r="R103" s="56"/>
      <c r="S103" s="169"/>
      <c r="T103" s="169"/>
      <c r="U103" s="169"/>
      <c r="V103" s="169"/>
      <c r="W103" s="115"/>
      <c r="X103" s="96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L104" s="99"/>
      <c r="M104" s="209">
        <v>3915000</v>
      </c>
      <c r="N104" s="170"/>
      <c r="O104" s="99" t="s">
        <v>4537</v>
      </c>
      <c r="Q104" s="169"/>
      <c r="R104" s="169"/>
      <c r="S104" s="169"/>
      <c r="T104" s="169"/>
      <c r="U104" s="169"/>
      <c r="V104" s="169"/>
      <c r="W104" s="115"/>
      <c r="X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L105" s="99"/>
      <c r="M105" s="209">
        <v>3821000</v>
      </c>
      <c r="N105" s="170"/>
      <c r="O105" s="99" t="s">
        <v>4543</v>
      </c>
      <c r="Q105" s="99"/>
      <c r="R105" s="99"/>
      <c r="S105" s="99"/>
      <c r="T105" s="99" t="s">
        <v>25</v>
      </c>
      <c r="U105" s="99"/>
      <c r="V105" s="99"/>
      <c r="W105" s="115"/>
      <c r="X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L106" s="99"/>
      <c r="M106" s="209">
        <v>3610000</v>
      </c>
      <c r="N106" s="170"/>
      <c r="O106" s="99" t="s">
        <v>4564</v>
      </c>
      <c r="Q106" s="99"/>
      <c r="R106" s="99"/>
      <c r="S106" s="99"/>
      <c r="T106" s="99"/>
      <c r="U106" s="99"/>
      <c r="V106" s="99"/>
      <c r="W106" s="115"/>
      <c r="X106" s="96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L107" s="99"/>
      <c r="M107" s="209"/>
      <c r="N107" s="170"/>
      <c r="O107" s="99"/>
      <c r="Q107" s="99"/>
      <c r="R107" s="99"/>
      <c r="S107" s="99"/>
      <c r="T107" s="99"/>
      <c r="U107" s="99"/>
      <c r="V107" s="99"/>
      <c r="W107" s="115"/>
      <c r="X107" s="96"/>
      <c r="AB107" s="96"/>
      <c r="AC107" s="96"/>
      <c r="AH107" s="99"/>
      <c r="AI107" s="99" t="s">
        <v>4064</v>
      </c>
      <c r="AJ107" s="95">
        <f>AJ102+AN102</f>
        <v>250298696.86258066</v>
      </c>
      <c r="AK107" s="99"/>
      <c r="AL107" s="99"/>
      <c r="AM107" s="99"/>
      <c r="AN107" s="99"/>
    </row>
    <row r="108" spans="4:47">
      <c r="L108" s="99"/>
      <c r="M108" s="170"/>
      <c r="N108" s="170"/>
      <c r="O108" s="99"/>
      <c r="Q108" s="96"/>
      <c r="R108" s="96"/>
      <c r="S108" s="96"/>
      <c r="T108" s="96"/>
      <c r="V108" s="96"/>
      <c r="X108" s="115"/>
      <c r="AB108" s="96"/>
      <c r="AC108" s="96"/>
      <c r="AI108" t="s">
        <v>4067</v>
      </c>
      <c r="AJ108" s="114">
        <f>SUM(N39:N49)-N43</f>
        <v>232918850.19999999</v>
      </c>
    </row>
    <row r="109" spans="4:47">
      <c r="M109" s="58"/>
      <c r="N109" s="58"/>
      <c r="O109" s="115"/>
      <c r="Q109" s="96"/>
      <c r="R109" s="96"/>
      <c r="S109" s="96"/>
      <c r="T109" s="96"/>
      <c r="V109" s="96"/>
      <c r="AC109" s="96"/>
      <c r="AD109" s="96"/>
      <c r="AE109"/>
      <c r="AF109"/>
      <c r="AI109" t="s">
        <v>4139</v>
      </c>
      <c r="AJ109" s="114">
        <f>AJ108-AJ102</f>
        <v>-665249.80000001192</v>
      </c>
      <c r="AM109" t="s">
        <v>25</v>
      </c>
    </row>
    <row r="110" spans="4:47">
      <c r="M110" t="s">
        <v>25</v>
      </c>
      <c r="Q110" s="96"/>
      <c r="R110" s="96"/>
      <c r="S110" s="96"/>
      <c r="T110" s="96" t="s">
        <v>25</v>
      </c>
      <c r="V110" s="96"/>
      <c r="AI110" t="s">
        <v>943</v>
      </c>
      <c r="AJ110" s="114">
        <f>AN102</f>
        <v>16714596.862580646</v>
      </c>
    </row>
    <row r="111" spans="4:47">
      <c r="M111" s="114">
        <f>SUM(N97:N102)-SUM(M97:M104)</f>
        <v>-321000</v>
      </c>
      <c r="N111" t="s">
        <v>916</v>
      </c>
      <c r="Q111" s="96"/>
      <c r="R111" s="96"/>
      <c r="S111" s="96"/>
      <c r="T111" s="96"/>
      <c r="V111" s="96"/>
      <c r="AI111" t="s">
        <v>4068</v>
      </c>
      <c r="AJ111" s="114">
        <f>AJ108-AJ107</f>
        <v>-17379846.662580669</v>
      </c>
      <c r="AR111" s="96"/>
      <c r="AS111" s="96"/>
      <c r="AT111"/>
      <c r="AU111"/>
    </row>
    <row r="112" spans="4:47">
      <c r="Q112" s="96"/>
      <c r="R112" s="96"/>
      <c r="S112" s="96"/>
      <c r="T112" s="99" t="s">
        <v>180</v>
      </c>
      <c r="U112" s="99" t="s">
        <v>4512</v>
      </c>
      <c r="V112" s="99" t="s">
        <v>4513</v>
      </c>
      <c r="W112" s="99" t="s">
        <v>4527</v>
      </c>
      <c r="X112" s="99" t="s">
        <v>8</v>
      </c>
      <c r="AM112" t="s">
        <v>25</v>
      </c>
    </row>
    <row r="113" spans="10:43" ht="30">
      <c r="Q113" s="36" t="s">
        <v>4478</v>
      </c>
      <c r="R113" s="95">
        <f>SUM(N41:N49)</f>
        <v>226596176</v>
      </c>
      <c r="T113" s="113" t="s">
        <v>4486</v>
      </c>
      <c r="U113" s="56">
        <v>1000000</v>
      </c>
      <c r="V113" s="113">
        <v>239.024</v>
      </c>
      <c r="W113" s="113">
        <f>U113*V113</f>
        <v>239024000</v>
      </c>
      <c r="X113" s="99"/>
      <c r="AJ113" t="s">
        <v>25</v>
      </c>
    </row>
    <row r="114" spans="10:43">
      <c r="M114" t="s">
        <v>4585</v>
      </c>
      <c r="N114">
        <f>281/165.5</f>
        <v>1.6978851963746224</v>
      </c>
      <c r="Q114" s="99" t="s">
        <v>4476</v>
      </c>
      <c r="R114" s="95">
        <f>SUM(N21:N24)</f>
        <v>23996551.600000001</v>
      </c>
      <c r="T114" s="169" t="s">
        <v>4462</v>
      </c>
      <c r="U114" s="56">
        <v>5904</v>
      </c>
      <c r="V114" s="113">
        <v>237.148</v>
      </c>
      <c r="W114" s="113">
        <f t="shared" ref="W114:W122" si="24">U114*V114</f>
        <v>1400121.7919999999</v>
      </c>
      <c r="X114" s="99" t="s">
        <v>751</v>
      </c>
    </row>
    <row r="115" spans="10:43">
      <c r="N115">
        <f>289.3/166.2</f>
        <v>1.7406738868832734</v>
      </c>
      <c r="O115">
        <f>N115/N114</f>
        <v>1.0252011682533158</v>
      </c>
      <c r="Q115" s="99" t="s">
        <v>4477</v>
      </c>
      <c r="R115" s="95">
        <f>SUM(N27:N28)</f>
        <v>2760133.1</v>
      </c>
      <c r="T115" s="169" t="s">
        <v>4235</v>
      </c>
      <c r="U115" s="169">
        <v>1000</v>
      </c>
      <c r="V115" s="113">
        <v>247.393</v>
      </c>
      <c r="W115" s="113">
        <f t="shared" si="24"/>
        <v>247393</v>
      </c>
      <c r="X115" s="99" t="s">
        <v>751</v>
      </c>
    </row>
    <row r="116" spans="10:43">
      <c r="Q116" s="99" t="s">
        <v>4479</v>
      </c>
      <c r="R116" s="95">
        <f>N39</f>
        <v>6927186</v>
      </c>
      <c r="T116" s="169" t="s">
        <v>4531</v>
      </c>
      <c r="U116" s="169">
        <v>8071</v>
      </c>
      <c r="V116" s="113">
        <v>247.797</v>
      </c>
      <c r="W116" s="113">
        <f t="shared" si="24"/>
        <v>1999969.5870000001</v>
      </c>
      <c r="X116" s="99" t="s">
        <v>4474</v>
      </c>
    </row>
    <row r="117" spans="10:43">
      <c r="Q117" s="99" t="s">
        <v>4480</v>
      </c>
      <c r="R117" s="95">
        <f>N20</f>
        <v>139</v>
      </c>
      <c r="T117" s="169" t="s">
        <v>4531</v>
      </c>
      <c r="U117" s="169">
        <v>53672</v>
      </c>
      <c r="V117" s="113">
        <v>247.797</v>
      </c>
      <c r="W117" s="113">
        <f t="shared" si="24"/>
        <v>13299760.584000001</v>
      </c>
      <c r="X117" s="99" t="s">
        <v>452</v>
      </c>
    </row>
    <row r="118" spans="10:43">
      <c r="Q118" s="99" t="s">
        <v>4481</v>
      </c>
      <c r="R118" s="95">
        <f>N26</f>
        <v>9</v>
      </c>
      <c r="T118" s="169" t="s">
        <v>4543</v>
      </c>
      <c r="U118" s="169">
        <v>4099</v>
      </c>
      <c r="V118" s="113">
        <v>243.93</v>
      </c>
      <c r="W118" s="113">
        <f t="shared" si="24"/>
        <v>999869.07000000007</v>
      </c>
      <c r="X118" s="99" t="s">
        <v>4474</v>
      </c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4303</v>
      </c>
    </row>
    <row r="119" spans="10:43">
      <c r="Q119" s="99" t="s">
        <v>4493</v>
      </c>
      <c r="R119" s="95">
        <v>472900</v>
      </c>
      <c r="T119" s="169" t="s">
        <v>4543</v>
      </c>
      <c r="U119" s="169">
        <v>9301</v>
      </c>
      <c r="V119" s="113">
        <v>243.93</v>
      </c>
      <c r="W119" s="113">
        <f t="shared" si="24"/>
        <v>2268792.9300000002</v>
      </c>
      <c r="X119" s="99" t="s">
        <v>452</v>
      </c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153</v>
      </c>
      <c r="AM119" s="99">
        <f>AJ119*AL119</f>
        <v>544040460</v>
      </c>
      <c r="AN119" s="99" t="s">
        <v>4327</v>
      </c>
    </row>
    <row r="120" spans="10:43">
      <c r="J120" s="169" t="s">
        <v>3643</v>
      </c>
      <c r="K120" s="169" t="s">
        <v>180</v>
      </c>
      <c r="L120" s="169" t="s">
        <v>4513</v>
      </c>
      <c r="M120" s="169" t="s">
        <v>937</v>
      </c>
      <c r="N120" s="56" t="s">
        <v>940</v>
      </c>
      <c r="O120" s="99" t="s">
        <v>8</v>
      </c>
      <c r="Q120" s="99" t="s">
        <v>4548</v>
      </c>
      <c r="R120" s="95">
        <v>410239</v>
      </c>
      <c r="T120" s="169" t="s">
        <v>4562</v>
      </c>
      <c r="U120" s="169">
        <v>8334</v>
      </c>
      <c r="V120" s="113">
        <v>239.97</v>
      </c>
      <c r="W120" s="113">
        <f t="shared" si="24"/>
        <v>1999909.98</v>
      </c>
      <c r="X120" s="99" t="s">
        <v>4474</v>
      </c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4" si="25">AK120+AL121</f>
        <v>151</v>
      </c>
      <c r="AM120" s="99">
        <f t="shared" ref="AM120:AM144" si="26">AJ120*AL120</f>
        <v>259846387</v>
      </c>
      <c r="AN120" s="99" t="s">
        <v>4328</v>
      </c>
      <c r="AO120" t="s">
        <v>25</v>
      </c>
    </row>
    <row r="121" spans="10:43">
      <c r="J121" s="169">
        <v>1</v>
      </c>
      <c r="K121" s="169" t="s">
        <v>4296</v>
      </c>
      <c r="L121" s="113">
        <v>4270000</v>
      </c>
      <c r="M121" s="169">
        <v>10</v>
      </c>
      <c r="N121" s="113">
        <f>L121*M121</f>
        <v>42700000</v>
      </c>
      <c r="O121" s="99" t="s">
        <v>751</v>
      </c>
      <c r="Q121" s="99" t="s">
        <v>4576</v>
      </c>
      <c r="R121" s="95">
        <v>147902</v>
      </c>
      <c r="T121" s="169" t="s">
        <v>4234</v>
      </c>
      <c r="U121" s="169">
        <v>29041</v>
      </c>
      <c r="V121" s="113">
        <v>233.45</v>
      </c>
      <c r="W121" s="113">
        <f t="shared" si="24"/>
        <v>6779621.4499999993</v>
      </c>
      <c r="X121" s="99" t="s">
        <v>751</v>
      </c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5"/>
        <v>100</v>
      </c>
      <c r="AM121" s="99">
        <f t="shared" si="26"/>
        <v>15000000</v>
      </c>
      <c r="AN121" s="99"/>
      <c r="AP121" t="s">
        <v>25</v>
      </c>
    </row>
    <row r="122" spans="10:43">
      <c r="J122" s="169">
        <v>2</v>
      </c>
      <c r="K122" s="169" t="s">
        <v>4531</v>
      </c>
      <c r="L122" s="113">
        <v>3845000</v>
      </c>
      <c r="M122" s="169">
        <v>4</v>
      </c>
      <c r="N122" s="113">
        <f t="shared" ref="N122:N123" si="27">L122*M122</f>
        <v>15380000</v>
      </c>
      <c r="O122" s="99" t="s">
        <v>452</v>
      </c>
      <c r="Q122" s="99" t="s">
        <v>4485</v>
      </c>
      <c r="R122" s="95">
        <f>SUM(R113:R121)</f>
        <v>261311235.69999999</v>
      </c>
      <c r="S122" s="115"/>
      <c r="T122" s="169"/>
      <c r="U122" s="169"/>
      <c r="V122" s="113"/>
      <c r="W122" s="113">
        <f t="shared" si="24"/>
        <v>0</v>
      </c>
      <c r="X122" s="99"/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5"/>
        <v>97</v>
      </c>
      <c r="AM122" s="99">
        <f t="shared" si="26"/>
        <v>-9215000</v>
      </c>
      <c r="AN122" s="99"/>
      <c r="AQ122" t="s">
        <v>25</v>
      </c>
    </row>
    <row r="123" spans="10:43">
      <c r="J123" s="169">
        <v>3</v>
      </c>
      <c r="K123" s="169" t="s">
        <v>4234</v>
      </c>
      <c r="L123" s="113">
        <v>3390000</v>
      </c>
      <c r="M123" s="169">
        <v>2</v>
      </c>
      <c r="N123" s="113">
        <f t="shared" si="27"/>
        <v>6780000</v>
      </c>
      <c r="O123" s="99" t="s">
        <v>751</v>
      </c>
      <c r="Q123" s="96"/>
      <c r="S123" s="122"/>
      <c r="T123" s="169"/>
      <c r="U123" s="169">
        <f>SUM(U113:U121)</f>
        <v>1119422</v>
      </c>
      <c r="V123" s="99"/>
      <c r="W123" s="99"/>
      <c r="X123" s="99"/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5"/>
        <v>89</v>
      </c>
      <c r="AM123" s="99">
        <f t="shared" si="26"/>
        <v>280350000</v>
      </c>
      <c r="AN123" s="99"/>
    </row>
    <row r="124" spans="10:43">
      <c r="J124" s="169"/>
      <c r="K124" s="169"/>
      <c r="L124" s="113"/>
      <c r="M124" s="169"/>
      <c r="N124" s="113"/>
      <c r="O124" s="99"/>
      <c r="Q124" s="96"/>
      <c r="R124" s="186"/>
      <c r="S124" s="115"/>
      <c r="T124" s="99"/>
      <c r="U124" s="99" t="s">
        <v>6</v>
      </c>
      <c r="V124" s="99"/>
      <c r="W124" s="99"/>
      <c r="X124" s="99"/>
      <c r="Y124" t="s">
        <v>25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5"/>
        <v>73</v>
      </c>
      <c r="AM124" s="99">
        <f t="shared" si="26"/>
        <v>-4745000</v>
      </c>
      <c r="AN124" s="99"/>
    </row>
    <row r="125" spans="10:43">
      <c r="J125" s="169"/>
      <c r="K125" s="169"/>
      <c r="L125" s="169"/>
      <c r="M125" s="169">
        <f>SUM(M121:M124)</f>
        <v>16</v>
      </c>
      <c r="N125" s="113">
        <f>SUM(N121:N124)</f>
        <v>64860000</v>
      </c>
      <c r="O125" s="99"/>
      <c r="Q125" s="96"/>
      <c r="R125" s="186"/>
      <c r="S125" s="115"/>
      <c r="T125" s="206" t="s">
        <v>4514</v>
      </c>
      <c r="AH125" s="99">
        <v>7</v>
      </c>
      <c r="AI125" s="99" t="s">
        <v>4329</v>
      </c>
      <c r="AJ125" s="117">
        <v>-95000</v>
      </c>
      <c r="AK125" s="99">
        <v>6</v>
      </c>
      <c r="AL125" s="99">
        <f t="shared" si="25"/>
        <v>72</v>
      </c>
      <c r="AM125" s="99">
        <f t="shared" si="26"/>
        <v>-6840000</v>
      </c>
      <c r="AN125" s="99"/>
    </row>
    <row r="126" spans="10:43">
      <c r="J126" s="169"/>
      <c r="K126" s="169"/>
      <c r="L126" s="169"/>
      <c r="M126" s="169" t="s">
        <v>6</v>
      </c>
      <c r="N126" s="169"/>
      <c r="O126" s="99"/>
      <c r="Q126" s="96"/>
      <c r="R126" s="115"/>
      <c r="T126" s="205">
        <f>R122/U123</f>
        <v>233.43407195856432</v>
      </c>
      <c r="AH126" s="99">
        <v>8</v>
      </c>
      <c r="AI126" s="99" t="s">
        <v>4330</v>
      </c>
      <c r="AJ126" s="117">
        <v>232000</v>
      </c>
      <c r="AK126" s="99">
        <v>7</v>
      </c>
      <c r="AL126" s="99">
        <f t="shared" si="25"/>
        <v>66</v>
      </c>
      <c r="AM126" s="99">
        <f t="shared" si="26"/>
        <v>15312000</v>
      </c>
      <c r="AN126" s="99"/>
    </row>
    <row r="127" spans="10:43">
      <c r="M127" s="113">
        <f>N125/M125</f>
        <v>4053750</v>
      </c>
      <c r="W127" s="114"/>
      <c r="AH127" s="99">
        <v>9</v>
      </c>
      <c r="AI127" s="99" t="s">
        <v>4302</v>
      </c>
      <c r="AJ127" s="117">
        <v>13000000</v>
      </c>
      <c r="AK127" s="99">
        <v>2</v>
      </c>
      <c r="AL127" s="99">
        <f t="shared" si="25"/>
        <v>59</v>
      </c>
      <c r="AM127" s="99">
        <f t="shared" si="26"/>
        <v>767000000</v>
      </c>
      <c r="AN127" s="99"/>
    </row>
    <row r="128" spans="10:43">
      <c r="M128" s="41" t="s">
        <v>4586</v>
      </c>
      <c r="N128" t="s">
        <v>25</v>
      </c>
      <c r="Q128" s="99" t="s">
        <v>4474</v>
      </c>
      <c r="R128" s="99"/>
      <c r="U128" s="96" t="s">
        <v>267</v>
      </c>
      <c r="V128" t="s">
        <v>4515</v>
      </c>
      <c r="AH128" s="99">
        <v>10</v>
      </c>
      <c r="AI128" s="99" t="s">
        <v>4331</v>
      </c>
      <c r="AJ128" s="117">
        <v>10000000</v>
      </c>
      <c r="AK128" s="99">
        <v>3</v>
      </c>
      <c r="AL128" s="99">
        <f t="shared" si="25"/>
        <v>57</v>
      </c>
      <c r="AM128" s="99">
        <f t="shared" si="26"/>
        <v>570000000</v>
      </c>
      <c r="AN128" s="99"/>
    </row>
    <row r="129" spans="12:40">
      <c r="Q129" s="36" t="s">
        <v>180</v>
      </c>
      <c r="R129" s="99" t="s">
        <v>267</v>
      </c>
      <c r="U129" s="113">
        <v>6780000</v>
      </c>
      <c r="V129">
        <f>U129/T126</f>
        <v>29044.60322828744</v>
      </c>
      <c r="AH129" s="99">
        <v>11</v>
      </c>
      <c r="AI129" s="99" t="s">
        <v>4315</v>
      </c>
      <c r="AJ129" s="117">
        <v>3400000</v>
      </c>
      <c r="AK129" s="99">
        <v>9</v>
      </c>
      <c r="AL129" s="99">
        <f t="shared" si="25"/>
        <v>54</v>
      </c>
      <c r="AM129" s="99">
        <f t="shared" si="26"/>
        <v>183600000</v>
      </c>
      <c r="AN129" s="99"/>
    </row>
    <row r="130" spans="12:40">
      <c r="Q130" s="99" t="s">
        <v>4462</v>
      </c>
      <c r="R130" s="95">
        <v>3000000</v>
      </c>
      <c r="X130" t="s">
        <v>25</v>
      </c>
      <c r="AH130" s="99">
        <v>12</v>
      </c>
      <c r="AI130" s="99" t="s">
        <v>4363</v>
      </c>
      <c r="AJ130" s="117">
        <v>-8736514</v>
      </c>
      <c r="AK130" s="99">
        <v>1</v>
      </c>
      <c r="AL130" s="99">
        <f>AK130+AL131</f>
        <v>45</v>
      </c>
      <c r="AM130" s="99">
        <f t="shared" si="26"/>
        <v>-393143130</v>
      </c>
      <c r="AN130" s="99"/>
    </row>
    <row r="131" spans="12:40">
      <c r="L131">
        <f>140-M125-3</f>
        <v>121</v>
      </c>
      <c r="M131">
        <f>75-3-M121-M123</f>
        <v>60</v>
      </c>
      <c r="Q131" s="99" t="s">
        <v>4531</v>
      </c>
      <c r="R131" s="95">
        <v>2000000</v>
      </c>
      <c r="AH131" s="99">
        <v>13</v>
      </c>
      <c r="AI131" s="99" t="s">
        <v>4364</v>
      </c>
      <c r="AJ131" s="117">
        <v>555000</v>
      </c>
      <c r="AK131" s="99">
        <v>5</v>
      </c>
      <c r="AL131" s="99">
        <f t="shared" ref="AL131:AL143" si="28">AK131+AL132</f>
        <v>44</v>
      </c>
      <c r="AM131" s="99">
        <f t="shared" si="26"/>
        <v>24420000</v>
      </c>
      <c r="AN131" s="99"/>
    </row>
    <row r="132" spans="12:40">
      <c r="M132">
        <f>65-M122</f>
        <v>61</v>
      </c>
      <c r="Q132" s="99" t="s">
        <v>4543</v>
      </c>
      <c r="R132" s="95">
        <v>1000000</v>
      </c>
      <c r="AH132" s="99">
        <v>14</v>
      </c>
      <c r="AI132" s="99" t="s">
        <v>4388</v>
      </c>
      <c r="AJ132" s="117">
        <v>-448308</v>
      </c>
      <c r="AK132" s="99">
        <v>6</v>
      </c>
      <c r="AL132" s="99">
        <f t="shared" si="28"/>
        <v>39</v>
      </c>
      <c r="AM132" s="99">
        <f t="shared" si="26"/>
        <v>-17484012</v>
      </c>
      <c r="AN132" s="99"/>
    </row>
    <row r="133" spans="12:40">
      <c r="Q133" s="99" t="s">
        <v>4562</v>
      </c>
      <c r="R133" s="95">
        <v>2000000</v>
      </c>
      <c r="AH133" s="99">
        <v>15</v>
      </c>
      <c r="AI133" s="99" t="s">
        <v>4420</v>
      </c>
      <c r="AJ133" s="117">
        <v>33225</v>
      </c>
      <c r="AK133" s="99">
        <v>0</v>
      </c>
      <c r="AL133" s="99">
        <f t="shared" si="28"/>
        <v>33</v>
      </c>
      <c r="AM133" s="99">
        <f t="shared" si="26"/>
        <v>1096425</v>
      </c>
      <c r="AN133" s="99"/>
    </row>
    <row r="134" spans="12:40" ht="60">
      <c r="Q134" s="99"/>
      <c r="R134" s="95"/>
      <c r="T134" s="22" t="s">
        <v>4496</v>
      </c>
      <c r="AH134" s="149">
        <v>16</v>
      </c>
      <c r="AI134" s="149" t="s">
        <v>4420</v>
      </c>
      <c r="AJ134" s="193">
        <v>4098523</v>
      </c>
      <c r="AK134" s="149">
        <v>2</v>
      </c>
      <c r="AL134" s="149">
        <f t="shared" si="28"/>
        <v>33</v>
      </c>
      <c r="AM134" s="149">
        <f t="shared" si="26"/>
        <v>135251259</v>
      </c>
      <c r="AN134" s="149" t="s">
        <v>657</v>
      </c>
    </row>
    <row r="135" spans="12:40" ht="45">
      <c r="Q135" s="99"/>
      <c r="R135" s="95"/>
      <c r="T135" s="22" t="s">
        <v>4497</v>
      </c>
      <c r="AH135" s="149">
        <v>17</v>
      </c>
      <c r="AI135" s="149" t="s">
        <v>4435</v>
      </c>
      <c r="AJ135" s="193">
        <v>-1000000</v>
      </c>
      <c r="AK135" s="149">
        <v>7</v>
      </c>
      <c r="AL135" s="149">
        <f t="shared" si="28"/>
        <v>31</v>
      </c>
      <c r="AM135" s="149">
        <f t="shared" si="26"/>
        <v>-31000000</v>
      </c>
      <c r="AN135" s="149" t="s">
        <v>657</v>
      </c>
    </row>
    <row r="136" spans="12:40">
      <c r="Q136" s="99"/>
      <c r="R136" s="95">
        <f>SUM(R130:R134)</f>
        <v>8000000</v>
      </c>
      <c r="AH136" s="149">
        <v>18</v>
      </c>
      <c r="AI136" s="149" t="s">
        <v>4458</v>
      </c>
      <c r="AJ136" s="193">
        <v>750000</v>
      </c>
      <c r="AK136" s="149">
        <v>1</v>
      </c>
      <c r="AL136" s="149">
        <f t="shared" si="28"/>
        <v>24</v>
      </c>
      <c r="AM136" s="149">
        <f t="shared" si="26"/>
        <v>18000000</v>
      </c>
      <c r="AN136" s="149" t="s">
        <v>657</v>
      </c>
    </row>
    <row r="137" spans="12:40">
      <c r="Q137" s="99"/>
      <c r="R137" s="99" t="s">
        <v>6</v>
      </c>
      <c r="AH137" s="201">
        <v>19</v>
      </c>
      <c r="AI137" s="201" t="s">
        <v>4460</v>
      </c>
      <c r="AJ137" s="202">
        <v>-604152</v>
      </c>
      <c r="AK137" s="201">
        <v>0</v>
      </c>
      <c r="AL137" s="201">
        <f t="shared" si="28"/>
        <v>23</v>
      </c>
      <c r="AM137" s="201">
        <f t="shared" si="26"/>
        <v>-13895496</v>
      </c>
      <c r="AN137" s="201" t="s">
        <v>657</v>
      </c>
    </row>
    <row r="138" spans="12:40">
      <c r="T138" s="99" t="s">
        <v>4516</v>
      </c>
      <c r="U138" s="99" t="s">
        <v>4485</v>
      </c>
      <c r="V138" s="99" t="s">
        <v>953</v>
      </c>
      <c r="AH138" s="99">
        <v>20</v>
      </c>
      <c r="AI138" s="99" t="s">
        <v>4461</v>
      </c>
      <c r="AJ138" s="117">
        <v>-587083</v>
      </c>
      <c r="AK138" s="99">
        <v>4</v>
      </c>
      <c r="AL138" s="99">
        <f t="shared" si="28"/>
        <v>23</v>
      </c>
      <c r="AM138" s="99">
        <f t="shared" si="26"/>
        <v>-13502909</v>
      </c>
      <c r="AN138" s="99"/>
    </row>
    <row r="139" spans="12:40">
      <c r="Q139" s="96"/>
      <c r="R139" s="96"/>
      <c r="T139" s="95">
        <f>R136+R149+R158</f>
        <v>268019393</v>
      </c>
      <c r="U139" s="95">
        <f>R122</f>
        <v>261311235.69999999</v>
      </c>
      <c r="V139" s="95">
        <f>U139-T139</f>
        <v>-6708157.3000000119</v>
      </c>
      <c r="AH139" s="201">
        <v>21</v>
      </c>
      <c r="AI139" s="201" t="s">
        <v>4462</v>
      </c>
      <c r="AJ139" s="202">
        <v>-754351</v>
      </c>
      <c r="AK139" s="201">
        <v>0</v>
      </c>
      <c r="AL139" s="99">
        <f t="shared" si="28"/>
        <v>19</v>
      </c>
      <c r="AM139" s="201">
        <f t="shared" si="26"/>
        <v>-14332669</v>
      </c>
      <c r="AN139" s="201" t="s">
        <v>657</v>
      </c>
    </row>
    <row r="140" spans="12:40">
      <c r="Q140" s="96"/>
      <c r="R140" s="96"/>
      <c r="AH140" s="99">
        <v>22</v>
      </c>
      <c r="AI140" s="99" t="s">
        <v>4462</v>
      </c>
      <c r="AJ140" s="117">
        <v>-189619</v>
      </c>
      <c r="AK140" s="99">
        <v>15</v>
      </c>
      <c r="AL140" s="99">
        <f t="shared" si="28"/>
        <v>19</v>
      </c>
      <c r="AM140" s="99">
        <f t="shared" si="26"/>
        <v>-3602761</v>
      </c>
      <c r="AN140" s="99"/>
    </row>
    <row r="141" spans="12:40">
      <c r="AH141" s="201">
        <v>23</v>
      </c>
      <c r="AI141" s="201" t="s">
        <v>4570</v>
      </c>
      <c r="AJ141" s="201">
        <v>7100</v>
      </c>
      <c r="AK141" s="201">
        <v>0</v>
      </c>
      <c r="AL141" s="99">
        <f t="shared" si="28"/>
        <v>4</v>
      </c>
      <c r="AM141" s="201">
        <f t="shared" si="26"/>
        <v>28400</v>
      </c>
      <c r="AN141" s="201" t="s">
        <v>657</v>
      </c>
    </row>
    <row r="142" spans="12:40">
      <c r="Q142" s="99" t="s">
        <v>751</v>
      </c>
      <c r="R142" s="99"/>
      <c r="AH142" s="20">
        <v>24</v>
      </c>
      <c r="AI142" s="20" t="s">
        <v>4570</v>
      </c>
      <c r="AJ142" s="20">
        <v>-147902</v>
      </c>
      <c r="AK142" s="20">
        <v>3</v>
      </c>
      <c r="AL142" s="99">
        <f t="shared" si="28"/>
        <v>4</v>
      </c>
      <c r="AM142" s="201">
        <f t="shared" si="26"/>
        <v>-591608</v>
      </c>
      <c r="AN142" s="20"/>
    </row>
    <row r="143" spans="12:40">
      <c r="Q143" s="99" t="s">
        <v>4462</v>
      </c>
      <c r="R143" s="95">
        <v>172908000</v>
      </c>
      <c r="AH143" s="149">
        <v>25</v>
      </c>
      <c r="AI143" s="149" t="s">
        <v>4584</v>
      </c>
      <c r="AJ143" s="149">
        <v>-37200</v>
      </c>
      <c r="AK143" s="149">
        <v>1</v>
      </c>
      <c r="AL143" s="99">
        <f t="shared" si="28"/>
        <v>1</v>
      </c>
      <c r="AM143" s="201">
        <f t="shared" si="26"/>
        <v>-37200</v>
      </c>
      <c r="AN143" s="149" t="s">
        <v>657</v>
      </c>
    </row>
    <row r="144" spans="12:40">
      <c r="Q144" s="99" t="s">
        <v>4511</v>
      </c>
      <c r="R144" s="95">
        <v>1400000</v>
      </c>
      <c r="AH144" s="99"/>
      <c r="AI144" s="99"/>
      <c r="AJ144" s="99"/>
      <c r="AK144" s="99"/>
      <c r="AL144" s="99">
        <f t="shared" si="25"/>
        <v>0</v>
      </c>
      <c r="AM144" s="201">
        <f t="shared" si="26"/>
        <v>0</v>
      </c>
      <c r="AN144" s="99"/>
    </row>
    <row r="145" spans="17:44">
      <c r="Q145" s="99" t="s">
        <v>4235</v>
      </c>
      <c r="R145" s="95">
        <v>247393</v>
      </c>
      <c r="AH145" s="99"/>
      <c r="AI145" s="99"/>
      <c r="AJ145" s="99"/>
      <c r="AK145" s="99"/>
      <c r="AL145" s="99"/>
      <c r="AM145" s="99"/>
      <c r="AN145" s="99"/>
    </row>
    <row r="146" spans="17:44">
      <c r="Q146" s="99" t="s">
        <v>4234</v>
      </c>
      <c r="R146" s="95">
        <v>6780000</v>
      </c>
      <c r="AH146" s="99"/>
      <c r="AI146" s="99"/>
      <c r="AJ146" s="95">
        <f>SUM(AJ119:AJ145)</f>
        <v>27892376</v>
      </c>
      <c r="AK146" s="99"/>
      <c r="AL146" s="99"/>
      <c r="AM146" s="99">
        <f>SUM(AM119:AM145)</f>
        <v>2305555146</v>
      </c>
      <c r="AN146" s="95">
        <f>AM146*AN105/31</f>
        <v>1487454.9329032258</v>
      </c>
      <c r="AR146" t="s">
        <v>25</v>
      </c>
    </row>
    <row r="147" spans="17:44">
      <c r="Q147" s="99"/>
      <c r="R147" s="95"/>
      <c r="AJ147" t="s">
        <v>4062</v>
      </c>
      <c r="AM147" t="s">
        <v>284</v>
      </c>
      <c r="AN147" t="s">
        <v>943</v>
      </c>
    </row>
    <row r="148" spans="17:44">
      <c r="Q148" s="99"/>
      <c r="R148" s="95"/>
    </row>
    <row r="149" spans="17:44">
      <c r="Q149" s="99"/>
      <c r="R149" s="95">
        <f>SUM(R143:R147)</f>
        <v>181335393</v>
      </c>
      <c r="AI149" t="s">
        <v>4064</v>
      </c>
      <c r="AJ149" s="114">
        <f>AJ146+AN146</f>
        <v>29379830.932903226</v>
      </c>
    </row>
    <row r="150" spans="17:44">
      <c r="Q150" s="99"/>
      <c r="R150" s="99" t="s">
        <v>6</v>
      </c>
      <c r="AI150" t="s">
        <v>4067</v>
      </c>
      <c r="AJ150" s="114">
        <f>SUM(N20:N28)</f>
        <v>26756832.700000003</v>
      </c>
    </row>
    <row r="151" spans="17:44">
      <c r="AI151" t="s">
        <v>4139</v>
      </c>
      <c r="AJ151" s="114">
        <f>AJ150-AJ146</f>
        <v>-1135543.299999997</v>
      </c>
    </row>
    <row r="152" spans="17:44">
      <c r="AI152" t="s">
        <v>943</v>
      </c>
      <c r="AJ152" s="114">
        <f>AN146</f>
        <v>1487454.9329032258</v>
      </c>
    </row>
    <row r="153" spans="17:44">
      <c r="Q153" s="99" t="s">
        <v>452</v>
      </c>
      <c r="R153" s="99"/>
      <c r="AI153" t="s">
        <v>4068</v>
      </c>
      <c r="AJ153" s="114">
        <f>AJ151-AJ152</f>
        <v>-2622998.2329032226</v>
      </c>
    </row>
    <row r="154" spans="17:44">
      <c r="Q154" s="99" t="s">
        <v>4462</v>
      </c>
      <c r="R154" s="95">
        <v>63115000</v>
      </c>
    </row>
    <row r="155" spans="17:44">
      <c r="Q155" s="99" t="s">
        <v>4531</v>
      </c>
      <c r="R155" s="95">
        <v>13300000</v>
      </c>
      <c r="T155" t="s">
        <v>25</v>
      </c>
    </row>
    <row r="156" spans="17:44">
      <c r="Q156" s="99" t="s">
        <v>4543</v>
      </c>
      <c r="R156" s="95">
        <v>2269000</v>
      </c>
    </row>
    <row r="157" spans="17:44">
      <c r="Q157" s="99"/>
      <c r="R157" s="95"/>
    </row>
    <row r="158" spans="17:44">
      <c r="Q158" s="99"/>
      <c r="R158" s="95">
        <f>SUM(R154:R156)</f>
        <v>78684000</v>
      </c>
    </row>
    <row r="159" spans="17:44">
      <c r="Q159" s="99"/>
      <c r="R159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 M111" formulaRange="1"/>
    <ignoredError sqref="P27:P28 S28 P22 U100 S67 S8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4453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4344</v>
      </c>
      <c r="B6" s="18">
        <v>-2000700</v>
      </c>
      <c r="C6" s="18">
        <v>0</v>
      </c>
      <c r="D6" s="113">
        <f t="shared" si="0"/>
        <v>-2000700</v>
      </c>
      <c r="E6" s="19" t="s">
        <v>4345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4344</v>
      </c>
      <c r="B7" s="18">
        <v>-200000</v>
      </c>
      <c r="C7" s="18">
        <v>0</v>
      </c>
      <c r="D7" s="113">
        <f t="shared" si="0"/>
        <v>-200000</v>
      </c>
      <c r="E7" s="19" t="s">
        <v>4346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4344</v>
      </c>
      <c r="B8" s="18">
        <v>-1900000</v>
      </c>
      <c r="C8" s="18">
        <v>0</v>
      </c>
      <c r="D8" s="113">
        <f t="shared" si="0"/>
        <v>-1900000</v>
      </c>
      <c r="E8" s="19" t="s">
        <v>4347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4350</v>
      </c>
      <c r="B9" s="18">
        <v>-50000</v>
      </c>
      <c r="C9" s="18">
        <v>0</v>
      </c>
      <c r="D9" s="113">
        <f t="shared" si="0"/>
        <v>-50000</v>
      </c>
      <c r="E9" s="21" t="s">
        <v>4351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4363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4363</v>
      </c>
      <c r="B11" s="18">
        <v>-3000900</v>
      </c>
      <c r="C11" s="18">
        <v>0</v>
      </c>
      <c r="D11" s="113">
        <f t="shared" si="0"/>
        <v>-3000900</v>
      </c>
      <c r="E11" s="19" t="s">
        <v>4371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4364</v>
      </c>
      <c r="B12" s="18">
        <v>-3000900</v>
      </c>
      <c r="C12" s="18">
        <v>0</v>
      </c>
      <c r="D12" s="113">
        <f t="shared" si="0"/>
        <v>-3000900</v>
      </c>
      <c r="E12" s="20" t="s">
        <v>4371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4364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4383</v>
      </c>
      <c r="B14" s="18">
        <v>-138360</v>
      </c>
      <c r="C14" s="18">
        <v>0</v>
      </c>
      <c r="D14" s="113">
        <f t="shared" si="0"/>
        <v>-138360</v>
      </c>
      <c r="E14" s="20" t="s">
        <v>4384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4386</v>
      </c>
      <c r="B15" s="18">
        <v>-3000900</v>
      </c>
      <c r="C15" s="18">
        <v>0</v>
      </c>
      <c r="D15" s="117">
        <f t="shared" si="0"/>
        <v>-3000900</v>
      </c>
      <c r="E15" s="20" t="s">
        <v>4371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4392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4409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4420</v>
      </c>
      <c r="B18" s="18">
        <v>-4098523</v>
      </c>
      <c r="C18" s="18">
        <v>0</v>
      </c>
      <c r="D18" s="113">
        <f t="shared" si="0"/>
        <v>-4098523</v>
      </c>
      <c r="E18" s="20" t="s">
        <v>4419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4420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4420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4416</v>
      </c>
      <c r="B21" s="18">
        <v>-7500</v>
      </c>
      <c r="C21" s="18">
        <v>0</v>
      </c>
      <c r="D21" s="113">
        <f t="shared" si="0"/>
        <v>-7500</v>
      </c>
      <c r="E21" s="19" t="s">
        <v>4417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4454</v>
      </c>
      <c r="B22" s="18">
        <v>7964</v>
      </c>
      <c r="C22" s="18">
        <v>65497</v>
      </c>
      <c r="D22" s="113">
        <f t="shared" si="0"/>
        <v>-57533</v>
      </c>
      <c r="E22" s="19" t="s">
        <v>4455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4410</v>
      </c>
    </row>
    <row r="82" spans="4:5">
      <c r="D82" s="114">
        <v>-142143</v>
      </c>
      <c r="E82" s="54" t="s">
        <v>4414</v>
      </c>
    </row>
    <row r="83" spans="4:5">
      <c r="D83" s="114">
        <v>-128352</v>
      </c>
      <c r="E83" s="54" t="s">
        <v>4413</v>
      </c>
    </row>
    <row r="84" spans="4:5">
      <c r="D84" s="114">
        <v>-6035000</v>
      </c>
      <c r="E84" s="54" t="s">
        <v>4423</v>
      </c>
    </row>
    <row r="85" spans="4:5">
      <c r="D85" s="114">
        <v>-55957</v>
      </c>
      <c r="E85" s="54" t="s">
        <v>4422</v>
      </c>
    </row>
    <row r="86" spans="4:5">
      <c r="D86" s="114">
        <v>7500</v>
      </c>
      <c r="E86" s="54" t="s">
        <v>4421</v>
      </c>
    </row>
    <row r="87" spans="4:5">
      <c r="D87" s="114">
        <v>1700000</v>
      </c>
      <c r="E87" s="54" t="s">
        <v>4424</v>
      </c>
    </row>
    <row r="88" spans="4:5">
      <c r="D88" s="114">
        <v>129648</v>
      </c>
      <c r="E88" s="54" t="s">
        <v>4425</v>
      </c>
    </row>
    <row r="89" spans="4:5">
      <c r="D89" s="114">
        <v>1000000</v>
      </c>
      <c r="E89" s="54" t="s">
        <v>4429</v>
      </c>
    </row>
    <row r="90" spans="4:5">
      <c r="D90" s="114">
        <v>-53003</v>
      </c>
      <c r="E90" s="54" t="s">
        <v>4430</v>
      </c>
    </row>
    <row r="91" spans="4:5">
      <c r="D91" s="114">
        <v>-23690</v>
      </c>
      <c r="E91" s="54" t="s">
        <v>4430</v>
      </c>
    </row>
    <row r="92" spans="4:5">
      <c r="D92" s="114">
        <v>-216910</v>
      </c>
      <c r="E92" s="54" t="s">
        <v>4432</v>
      </c>
    </row>
    <row r="93" spans="4:5">
      <c r="D93" s="114">
        <v>-30304</v>
      </c>
      <c r="E93" s="54" t="s">
        <v>4436</v>
      </c>
    </row>
    <row r="94" spans="4:5">
      <c r="D94" s="114">
        <v>-10067</v>
      </c>
      <c r="E94" s="54" t="s">
        <v>4437</v>
      </c>
    </row>
    <row r="95" spans="4:5">
      <c r="D95" s="114">
        <v>-16248</v>
      </c>
      <c r="E95" s="54" t="s">
        <v>4439</v>
      </c>
    </row>
    <row r="96" spans="4:5">
      <c r="D96" s="114">
        <v>-87695</v>
      </c>
      <c r="E96" s="54" t="s">
        <v>4440</v>
      </c>
    </row>
    <row r="97" spans="4:7">
      <c r="D97" s="114">
        <v>-29231</v>
      </c>
      <c r="E97" s="54" t="s">
        <v>4441</v>
      </c>
    </row>
    <row r="98" spans="4:7">
      <c r="D98" s="114">
        <v>1000000</v>
      </c>
      <c r="E98" s="54" t="s">
        <v>4442</v>
      </c>
    </row>
    <row r="99" spans="4:7">
      <c r="D99" s="114">
        <v>-35250</v>
      </c>
      <c r="E99" s="54" t="s">
        <v>4443</v>
      </c>
    </row>
    <row r="100" spans="4:7">
      <c r="D100" s="114">
        <v>-57477</v>
      </c>
      <c r="E100" s="54" t="s">
        <v>4444</v>
      </c>
    </row>
    <row r="101" spans="4:7">
      <c r="D101" s="114">
        <v>-13565</v>
      </c>
      <c r="E101" s="54" t="s">
        <v>4445</v>
      </c>
    </row>
    <row r="102" spans="4:7">
      <c r="D102" s="114">
        <v>-9429</v>
      </c>
      <c r="E102" s="54" t="s">
        <v>4446</v>
      </c>
    </row>
    <row r="103" spans="4:7">
      <c r="D103" s="114">
        <v>-600000</v>
      </c>
      <c r="E103" s="54" t="s">
        <v>4447</v>
      </c>
    </row>
    <row r="104" spans="4:7">
      <c r="D104" s="114">
        <v>335</v>
      </c>
      <c r="E104" s="54" t="s">
        <v>4449</v>
      </c>
    </row>
    <row r="105" spans="4:7">
      <c r="D105" s="114">
        <v>31026</v>
      </c>
      <c r="E105" s="54" t="s">
        <v>4450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4366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2018-12-18T19:31:12Z</dcterms:modified>
</cp:coreProperties>
</file>